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firstSheet="1" activeTab="1"/>
  </bookViews>
  <sheets>
    <sheet name="Sheet1" sheetId="1" state="hidden" r:id="rId1"/>
    <sheet name="生鲜蔬菜、水产、杂项" sheetId="3" r:id="rId2"/>
  </sheets>
  <definedNames>
    <definedName name="_xlnm._FilterDatabase" localSheetId="1" hidden="1">生鲜蔬菜、水产、杂项!$A$1:$I$381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8" name="ID_ADAE6F435182446495D44C5558643E6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86275" y="58985150"/>
          <a:ext cx="2990850" cy="2676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2" name="ID_6957EE4F49EC45688AC04C805A4B34A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58250" y="8483600"/>
          <a:ext cx="1400175" cy="1352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4" name="ID_0ABAED5D2AFE4AE1B38ED2F9C347107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58250" y="383400300"/>
          <a:ext cx="5238750" cy="429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B0A36632FE39429FA4BC8B3C88E6168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68125" y="42405935"/>
          <a:ext cx="1514475" cy="16186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C09BD44B6E3C43DC91E02EBE477327E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059035" y="88367235"/>
          <a:ext cx="1901825" cy="1355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C1CC0E6666274BC28184C3F13B4C15E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026650" y="105805605"/>
          <a:ext cx="1866900" cy="128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3" name="ID_F4FA688843E24516A2E96DAE3976456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177655" y="29556075"/>
          <a:ext cx="2381250" cy="213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0" name="ID_A3D496CD372C44A9BF4E2CD8770827A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762625" y="53971825"/>
          <a:ext cx="2933700" cy="226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1" name="ID_249BB8010CDC4CF68647C88EFE9CA53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48835" y="73107550"/>
          <a:ext cx="2123440" cy="2752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9" name="ID_ADC35531D4D84C62B830698B8574F6F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858250" y="5435600"/>
          <a:ext cx="1704975" cy="1657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4" name="ID_614E9E4EA2454A5E86858F49135BB83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62600" y="311683400"/>
          <a:ext cx="2105025" cy="1038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8" name="ID_F4BFF54F944A4BDF846BD5E10750AFB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858250" y="4419600"/>
          <a:ext cx="3714750" cy="285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B0DC27B948654C97BD99859C1468813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008870" y="241970560"/>
          <a:ext cx="1428750" cy="1123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1" name="ID_5B1DE3DD2DB3436D904FB35795CBCAA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858250" y="49123600"/>
          <a:ext cx="2705100" cy="2362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BCB5B74005524E4A993AA3CE6059E9B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858250" y="298208700"/>
          <a:ext cx="3295650" cy="2943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7" name="ID_581331CEE0C24AD9979DC9001E5F671A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858250" y="368109500"/>
          <a:ext cx="3695700" cy="3209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0" name="ID_405F2B4E20DF45769168B71D8AAFD49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858250" y="20675600"/>
          <a:ext cx="1685925" cy="1590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" name="ID_5887786ECAAE4DF6BA1B1F0F40419E1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858250" y="337527900"/>
          <a:ext cx="4572000" cy="4000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9" name="ID_81C4288D6CC74AC8961DE5F88C83A27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126855" y="450850"/>
          <a:ext cx="2114550" cy="163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" name="ID_7EF5159BB8FF41AD82E3278BF096FBF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858250" y="296024300"/>
          <a:ext cx="5695950" cy="4171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303B5E465D4142199C1C6FEC53AFFF8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766300" y="95004890"/>
          <a:ext cx="1733550" cy="95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B21012D3633B45F286A2AE5A1725499A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858250" y="1981200"/>
          <a:ext cx="2105025" cy="177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2" name="ID_32D8C06B29D644DEA432F90840B13F1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52925" y="32505650"/>
          <a:ext cx="5886450" cy="342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C7BE622D1DE14BBF8457D663B1C8900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069830" y="1932940"/>
          <a:ext cx="1971675" cy="1676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3" name="ID_07115B39CEC0418DA380B85379E48B3A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858250" y="10515600"/>
          <a:ext cx="2952750" cy="2800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9" name="ID_E159FA07A31C43E98CFFB3F0C2C3941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400550" y="75704700"/>
          <a:ext cx="1790700" cy="3000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4" name="ID_D17A650EA16548C29BB9EF47CDE484BA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858250" y="11531600"/>
          <a:ext cx="2238375" cy="1514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7" name="ID_66DA159C713D4DB985694E3506A3E7C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858250" y="28803600"/>
          <a:ext cx="6172200" cy="4848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B17F860AFDA7439E8DF00979F0A8544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587865" y="202389740"/>
          <a:ext cx="2478405" cy="1736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5" name="ID_B68D865930A64DB59AEEADCE39272008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858250" y="12547600"/>
          <a:ext cx="1590675" cy="128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6" name="ID_06F23CEF16AD45E5A024EE285947A62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858250" y="13563600"/>
          <a:ext cx="1838325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" name="ID_2E218AB8D4C546AD81919CC207C6A25C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858250" y="18643600"/>
          <a:ext cx="175260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0" name="ID_E9749B8EC3C849B69AA300A50E272A6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090660" y="44830365"/>
          <a:ext cx="2933700" cy="2886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6" name="ID_4307B7C78B4245EC82E61E32CC4901B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858250" y="387769100"/>
          <a:ext cx="5114925" cy="429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7" name="ID_BE9CB32772C44E9C81D98A6DC290954B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858250" y="14579600"/>
          <a:ext cx="1847850" cy="106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5" name="ID_A96C80F5C5CD4FBBB86BC9E1F2AB707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429125" y="80603725"/>
          <a:ext cx="2990850" cy="3619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8" name="ID_8F41850DA07548C0B1E1B5200B68B7B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858250" y="15595600"/>
          <a:ext cx="1924050" cy="1571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940B72F28601449C94D18FB73B830373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593580" y="208878805"/>
          <a:ext cx="2728595" cy="203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0" name="ID_5F5B8F86E7A84AA1A4E9099B2B9E2F9C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858250" y="50139600"/>
          <a:ext cx="3752850" cy="2943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0" name="ID_9149F9A64BCA46B48C877B77962034C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699000" y="70643750"/>
          <a:ext cx="1435100" cy="2143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A970408DC9E4C94B987CAAB19E7D15F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1505565" y="37366575"/>
          <a:ext cx="1800860" cy="166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9" name="ID_EAA20427226147D4961802BCD3D74BDB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8858250" y="17627600"/>
          <a:ext cx="221932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0" name="ID_4CC1515A175046F8A75F208CA8CF476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8858250" y="396506700"/>
          <a:ext cx="4114800" cy="4391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1" name="ID_50F22B7C75D348149FEAAAC3E8E480FF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858250" y="21691600"/>
          <a:ext cx="1933575" cy="1676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4" name="ID_320EF952855146A187C696D8C23FE04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9298940" y="31792545"/>
          <a:ext cx="2571750" cy="1990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4F842F75ACF04245BD32C586C2E3F08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1334750" y="57483375"/>
          <a:ext cx="2247900" cy="177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BD566181B76C4640AA6BAE6E71071C3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858250" y="271995900"/>
          <a:ext cx="4733925" cy="3752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F57C9D0FBC4B48B2B2551AB6C29D77A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0528300" y="145263235"/>
          <a:ext cx="1828800" cy="1352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2" name="ID_B1AF217D56964E7E8CA761CA642418ED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858250" y="22707600"/>
          <a:ext cx="2828925" cy="1695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3" name="ID_0FFD21A84DBE4146BE0E2BD5611FD08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858250" y="23723600"/>
          <a:ext cx="4686300" cy="3295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2" name="ID_9C39620110394EF694898F1D373AE02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858250" y="400875500"/>
          <a:ext cx="3343275" cy="3067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8" name="ID_7E12CB697D27424F8C77267B1353940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858250" y="27787600"/>
          <a:ext cx="3019425" cy="2962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6" name="ID_B1D8DB8818064A8EB1EAF6A40AFC8EE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8858250" y="409613100"/>
          <a:ext cx="5257800" cy="5105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7" name="ID_8A618D315D0D47CB8601BEB64EAFB5CE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858250" y="35915600"/>
          <a:ext cx="3848100" cy="1276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2" name="ID_A602CB69E1F643929DD6928A89D2205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9523730" y="422910"/>
          <a:ext cx="2343150" cy="981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5" name="ID_9B246D49CB4A487EB1A42491F841E13C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858250" y="39979600"/>
          <a:ext cx="2895600" cy="4543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D1A93D0C705343C887DE4431168AE253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9791700" y="79584550"/>
          <a:ext cx="2543175" cy="1590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29810EAF9524DA7B03F6EC0954AA627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0877550" y="55851425"/>
          <a:ext cx="2917190" cy="107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467D1730B82D4587A72F5BDB10F8DA8D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9906000" y="73031350"/>
          <a:ext cx="2028825" cy="124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781D6F8DF038479D8F01ABB1BA3DE5C0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9852660" y="90514805"/>
          <a:ext cx="1809750" cy="124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0AF0963A28E4408797633E8A64E3B2C9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9418320" y="232746550"/>
          <a:ext cx="3171190" cy="21913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A0DC04527C074A85A4D9B7204026C36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9973945" y="160294320"/>
          <a:ext cx="1924050" cy="133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DC19B8238D71430988170D0BB321CC0B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1301095" y="40249475"/>
          <a:ext cx="2443480" cy="1863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BD740CF7C5394940AD15F6381A360832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9697085" y="92907485"/>
          <a:ext cx="1895475" cy="119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82A34DC5BE5A41C28F221BFD640E3C75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9870440" y="132035550"/>
          <a:ext cx="1724025" cy="1343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4AA9E71F65364D7E8935F6166ACA0DF1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858250" y="258889500"/>
          <a:ext cx="3638550" cy="3743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0" name="ID_1C55A69B72DB491B9CEA0F2016E67597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296150" y="76908025"/>
          <a:ext cx="5238750" cy="514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0" name="ID_E2F251A5DF20419CB4DB88308CCA96BC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858250" y="300393100"/>
          <a:ext cx="4781550" cy="390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E6C743DA2A4541FE940EA6E885669CA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9887585" y="174271305"/>
          <a:ext cx="1819275" cy="106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9" name="ID_1AC79C69B4DE48FC86737387BA8FF433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745730" y="7334250"/>
          <a:ext cx="4352925" cy="4276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3D7AF8F21ED94FE0A0CA4283DA9B6AE7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8858250" y="223939100"/>
          <a:ext cx="3895725" cy="4181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3" name="ID_B3862E68FA98471DB9E1909E6A31175C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858250" y="7658100"/>
          <a:ext cx="2867025" cy="2781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F6D61D5D5D5E4D4F834E2111787D1B5E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858250" y="243598700"/>
          <a:ext cx="4857750" cy="4219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6" name="ID_6376C3B56F7C4566BF357FE723CABC2E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9090660" y="36092130"/>
          <a:ext cx="3381375" cy="228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A70FE44AEC484147B3A1A69907B08455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858250" y="267627100"/>
          <a:ext cx="4600575" cy="3467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7" name="ID_26875A9D1CAA4BED8D80D577D15644EA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5857875" y="327164700"/>
          <a:ext cx="3124200" cy="3114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2" name="ID_3D93FD15A4C24B868A084A7D8CC58C49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858250" y="379031500"/>
          <a:ext cx="4695825" cy="3209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7" name="ID_93530C4B19584F51B7204FDE3E8C0117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9194800" y="38397180"/>
          <a:ext cx="2714625" cy="3343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CE6DFDD65E474083B6690BF992A6A22F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9991090" y="149562820"/>
          <a:ext cx="1933575" cy="1343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1" name="ID_274190113B9C4778B31786EC8A816016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858250" y="398691100"/>
          <a:ext cx="4933950" cy="4429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" name="ID_A31340DB7A534BA8AC10B197C8DA0437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8858250" y="278549100"/>
          <a:ext cx="3429000" cy="2695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5" name="ID_BD28300F867C4A26A8E7E35A9158EE85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5895975" y="9550400"/>
          <a:ext cx="4333875" cy="3009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7" name="ID_AC9E039CD3524BA8AB0B112103FDFEDF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8858250" y="411797500"/>
          <a:ext cx="3762375" cy="4467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C8ECECEA410447918AEFE0BAB72D6FEA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1268075" y="31515050"/>
          <a:ext cx="202057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2" name="ID_BD7EDAF471DD474CB938BCE56DAF0A6F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858250" y="48107600"/>
          <a:ext cx="5657850" cy="2505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4" name="ID_0595817BBD184C90B10C100273D8C459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8386445" y="96413320"/>
          <a:ext cx="1147445" cy="114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0" name="ID_35026698B6D640FD8D978D870ED5A215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9220835" y="98419920"/>
          <a:ext cx="1362710" cy="1061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3" name="ID_755212B23D6D4C049DEF306084CCF455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4467225" y="5711825"/>
          <a:ext cx="2209800" cy="3600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A46D071CA4B4489EBC014DB7F82A386A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0303510" y="108111290"/>
          <a:ext cx="1809750" cy="1171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2901E2089EEC40D685F61C6A7F823A1D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1334750" y="28902025"/>
          <a:ext cx="2047875" cy="2085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3851B27CB2B47AAA13A63DFD9FBC62E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1248390" y="33771205"/>
          <a:ext cx="2162810" cy="1718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FE93468B91A7417287C946134BD0D0C7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0944225" y="35820350"/>
          <a:ext cx="2381250" cy="186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465EC3084C84E00B65F5818D254BEE0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1039475" y="44488100"/>
          <a:ext cx="262890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8" name="ID_8BA0DB892F9640CD8A4DED18671D2A35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858250" y="140843000"/>
          <a:ext cx="280035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2" name="ID_965776719E954E69924B3E34A1AC8E5F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9368155" y="5519420"/>
          <a:ext cx="2371725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5A31EC5149674C509B44730F19BAA0FA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1258550" y="53200300"/>
          <a:ext cx="2152650" cy="1619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3ABB36ED023446A58AF1512650E89EFB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0010775" y="59886850"/>
          <a:ext cx="2428875" cy="1609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9" name="ID_2DB45206C3554D3597BDDC8F222DC13F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4429125" y="46370875"/>
          <a:ext cx="3171825" cy="1962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6" name="ID_3B2D8C43106A49989C636695F2474881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858250" y="315683900"/>
          <a:ext cx="5353050" cy="2962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B98BD3CF298E4E6DB2FD517C5B7D5B9E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9877425" y="62014100"/>
          <a:ext cx="2152650" cy="1733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7" name="ID_C8C1F9C47D87486985350FF43C6B34BE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4362450" y="70472300"/>
          <a:ext cx="2495550" cy="228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DA1B4ECE6C7D45C5A4F5BA469ACED891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10130155" y="127511175"/>
          <a:ext cx="1476375" cy="1514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803C00F92A424840B577A09D369EC6E4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9858375" y="64103250"/>
          <a:ext cx="2457450" cy="1828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" name="ID_C3DF12CE0AED4624A371DA13CB74921B"/>
        <xdr:cNvPicPr>
          <a:picLocks noChangeAspect="1"/>
        </xdr:cNvPicPr>
      </xdr:nvPicPr>
      <xdr:blipFill>
        <a:blip r:embed="rId104" r:link="rId105"/>
        <a:stretch>
          <a:fillRect/>
        </a:stretch>
      </xdr:blipFill>
      <xdr:spPr>
        <a:xfrm>
          <a:off x="8415020" y="437115585"/>
          <a:ext cx="2550795" cy="19519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6F7F8F4647E64D9FB61E31ED97843C47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9220200" y="66497200"/>
          <a:ext cx="3486150" cy="128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FA179FDB72314BE0A5BF72152D48A080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9886950" y="70665975"/>
          <a:ext cx="2295525" cy="171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4" name="ID_D0648B7E782947BDAD8BF9DFE5F8621A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5657850" y="329590400"/>
          <a:ext cx="1638300" cy="125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B57D21B969184DE69C5DE75CF3231DF6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9848850" y="75377675"/>
          <a:ext cx="2466975" cy="1552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5F15F5F9A354FE3A49D5EB7D43F7504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9705975" y="77381100"/>
          <a:ext cx="2124075" cy="148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2019582C34ED49BEB248F312CE0B2D72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9886950" y="81768950"/>
          <a:ext cx="2428875" cy="1314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151D5C5352FF4807AFCF42A09EAFE004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8858250" y="280733500"/>
          <a:ext cx="5924550" cy="449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AC7986F67DD44B27995840DA32859C8A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1782425" y="50862230"/>
          <a:ext cx="1971675" cy="2084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AB66D5FBF42F4E2B9B68BA43698EF532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9763125" y="83839050"/>
          <a:ext cx="2400300" cy="1657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7245E00D77D5434E9BEBC1CD3E5126A1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9677400" y="85909150"/>
          <a:ext cx="2581275" cy="1581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8" name="ID_81FBA0C8E4194B52928FB953D8F445E1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143750" y="115169950"/>
          <a:ext cx="4591050" cy="2990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4" name="ID_FC0ACBCBD9BA46F188A6842655330B1E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9160510" y="9965690"/>
          <a:ext cx="2676525" cy="2686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5" name="ID_F8E1993DF8B8401EB419CD34D2EF0FDE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8858250" y="363740700"/>
          <a:ext cx="3895725" cy="3409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C0FF2C68C7D74A5E96BB7D68958A90F4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858250" y="293839900"/>
          <a:ext cx="4838700" cy="481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09CA45E6687E498D947BF31284E5191C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0095230" y="99408615"/>
          <a:ext cx="1847850" cy="113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5" name="ID_A70EF3CE54A94AEDA43D2118058D056C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9246870" y="12202160"/>
          <a:ext cx="3495675" cy="2619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6" name="ID_B57FB0FCA259406C9AD90DA8B0E73B0F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9107805" y="14420850"/>
          <a:ext cx="3790950" cy="307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8" name="ID_82273566D5274DB2B2913EAF25252086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8858250" y="370293900"/>
          <a:ext cx="3314700" cy="2362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3F6F0A0783D24A88BD713C56B6A88F3D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0407015" y="110277910"/>
          <a:ext cx="2076450" cy="1362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71F097C969AD451082F75487D78A6B98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9679940" y="112479455"/>
          <a:ext cx="1847850" cy="119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0D04673782C04AA39563C573EBF6D856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9887585" y="114439700"/>
          <a:ext cx="1819275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0BCED39CA0F44623AFCB9627FED56FCD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0060940" y="116676170"/>
          <a:ext cx="1876425" cy="124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49AFD21B5CF5436DB14CFA40E1BF1358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9713595" y="125251845"/>
          <a:ext cx="2967355" cy="1787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7" name="ID_0C0C560592244E1CA66D1887B7DDCE1F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5562600" y="61493400"/>
          <a:ext cx="2381250" cy="1914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D2D93D5C18394B56B41DF5EE277FCC5D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0026650" y="129938145"/>
          <a:ext cx="1733550" cy="1352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0" name="ID_D62512C4A15D4ED2B175AA0C85A656D7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4286250" y="27301825"/>
          <a:ext cx="5343525" cy="3990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1" name="ID_E2FE6AEA416D465AAD43EF2091B16CC1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5562600" y="28473400"/>
          <a:ext cx="2390775" cy="1419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958AE8DB3D5249AEB11519B71FC5563B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9697085" y="206743300"/>
          <a:ext cx="2461260" cy="1901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BB5931A1949D4E0B82BC6081966106DE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0095230" y="136508490"/>
          <a:ext cx="1724025" cy="119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7" name="ID_19005F663B7D403DBC5659555FB0BAC0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9904730" y="16951960"/>
          <a:ext cx="1314450" cy="111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6" name="ID_E1F44448C378442EBB0F0DDE71205F66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5800725" y="328377550"/>
          <a:ext cx="1571625" cy="124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7" name="ID_6F66B5465350424EA443AD72D52D46F5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4524375" y="733425"/>
          <a:ext cx="2733675" cy="2524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D3BD7E9BD78E41DBA0A3D44FC9804E4C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9784080" y="140947140"/>
          <a:ext cx="1800225" cy="1209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56AF385B99EB48DBA8EE9DCF1803288C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8858250" y="269811500"/>
          <a:ext cx="3914775" cy="3752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" name="ID_52E5AEFB09944330B5EB66CBFE1A4B54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8858250" y="333159100"/>
          <a:ext cx="3352800" cy="3276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46C6227F282D4CAD866F0C7B556A1D64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8858250" y="213017100"/>
          <a:ext cx="3981450" cy="3305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D986C0752506491494F903E2A62FDE18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0199370" y="142940405"/>
          <a:ext cx="1819275" cy="1400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CBF4BBEA728B4E98B98F42B097A43E33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0060305" y="147482560"/>
          <a:ext cx="1847850" cy="1238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5CE15F6394EC4A62998C1AF47A425CE1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8858250" y="221754700"/>
          <a:ext cx="4733925" cy="3286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7F0CFF5FE4AE404C88CDA03E087CB60D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0372725" y="151834215"/>
          <a:ext cx="1685925" cy="1343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EEBED9548C2F4AC3907B23C63DB2C61B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9783445" y="153914475"/>
          <a:ext cx="1847850" cy="1323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4" name="ID_5F465EB78E2740C98E0B782C4F580F23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8858250" y="405244300"/>
          <a:ext cx="3419475" cy="488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F64A429F78C14B1DB65F2C1103D1F49C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8858250" y="226123500"/>
          <a:ext cx="3724275" cy="3886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71693E6BAB8940C2B47FFBF073055907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0182225" y="155994735"/>
          <a:ext cx="1704975" cy="1400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0" name="ID_EB923FFC2B354A758A7BD8C2D8432B39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4248150" y="23615650"/>
          <a:ext cx="5181600" cy="3419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B2D5114193AC4A708759C9317591A08B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8858250" y="287286700"/>
          <a:ext cx="5772150" cy="2105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C7CFC0643BCE43F89E537758CD663AE0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9730105" y="157909260"/>
          <a:ext cx="2756535" cy="2061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0ABD1ED8A36F4A2F9437A3718174AB1F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9106535" y="164490400"/>
          <a:ext cx="3475355" cy="23323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E8FA0B55589B4C7E8E08F58CDB6797E7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0113010" y="237342045"/>
          <a:ext cx="1809750" cy="1419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51FA0DAAAFA64CEE8D2E32AEE16E4221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9991725" y="167289480"/>
          <a:ext cx="1905000" cy="1524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7" name="ID_4A473479E99C404AAB79DBAFCDBDC25B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4400550" y="84489925"/>
          <a:ext cx="2762250" cy="2676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9AA64CB1FCC54286BEA72F95F261B35E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0459085" y="169642790"/>
          <a:ext cx="1400175" cy="106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4508252B0E14484DA99AF03B8B94B68F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9766300" y="172363765"/>
          <a:ext cx="1838325" cy="1228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8" name="ID_867D0B5FA1994389B9357C249C3B3F3F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9419590" y="18668365"/>
          <a:ext cx="2438400" cy="2609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EDE749BB964A4A7382116D33324C3E0E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8858250" y="245783100"/>
          <a:ext cx="4638675" cy="3409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3E9CF64A12824AE0A61AA69884664DBC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9731375" y="180407945"/>
          <a:ext cx="2848610" cy="21126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1" name="ID_B2FAC89874B341B1A2AFD0E06B15C3B8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4591050" y="762000"/>
          <a:ext cx="2705100" cy="2466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9" name="ID_5CC5C936540441768014E5A5E374F88E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9454515" y="21095970"/>
          <a:ext cx="2657475" cy="2238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0" name="ID_E6B3B1D2773E496298347FB3E5B1518C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9229090" y="22967950"/>
          <a:ext cx="2695575" cy="3533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1" name="ID_28B4A078A2E64FA296CD99315B571243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9436735" y="25343485"/>
          <a:ext cx="2352675" cy="235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9FD502A00609415CBD406D4501D94543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9504680" y="189130305"/>
          <a:ext cx="2710180" cy="1915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8" name="ID_FE2305213D6648518822C1B9F8F9375B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4371975" y="52768500"/>
          <a:ext cx="2962275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9" name="ID_4307AAFAD12144069EF9E914D5D1EF47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5600700" y="55143400"/>
          <a:ext cx="3409950" cy="247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2" name="ID_280B40F8CE6849718E9819A4C7789D43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9264650" y="27338020"/>
          <a:ext cx="3543300" cy="3419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1" name="ID_5FA7B99DA83C4E10AB903A80C3D59C66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8858250" y="376847100"/>
          <a:ext cx="5648325" cy="514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B2324FFE4093465294DF419ACCF0C702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8858250" y="309130700"/>
          <a:ext cx="3371850" cy="4181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04CDB469FFD945A9B8693A21894C83E5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8858250" y="250151900"/>
          <a:ext cx="5457825" cy="3790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8C474B06F7C24032BCF8451EF4CC7E08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9471025" y="195697475"/>
          <a:ext cx="3050540" cy="228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3" name="ID_174B628DE6504694B3C6C1A1BDE0C8E1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5562600" y="41173400"/>
          <a:ext cx="2381250" cy="1876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8F63F789C8484912816507E39AD932E4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10268585" y="198090790"/>
          <a:ext cx="1623060" cy="1713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9F5BA2C59D8F44C19F1A340816467F85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9384030" y="200037065"/>
          <a:ext cx="2641600" cy="1957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B2E735D4AC6A479BBD4A136D5894C5F6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9523095" y="204353160"/>
          <a:ext cx="3164205" cy="2085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932BFCADA7AC449F86CC5AC18D16556F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8858250" y="215201500"/>
          <a:ext cx="4152900" cy="3590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56208451438C4E4A87A3D5EB8797C29D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8858250" y="217385900"/>
          <a:ext cx="4619625" cy="4267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E14772373F384E3D828D85D353EB7D13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8858250" y="219570300"/>
          <a:ext cx="3562350" cy="2971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2" name="ID_CACFDAE7FC7F455793478A378E6EDC64"/>
        <xdr:cNvPicPr>
          <a:picLocks noChangeAspect="1"/>
        </xdr:cNvPicPr>
      </xdr:nvPicPr>
      <xdr:blipFill>
        <a:blip r:embed="rId181" r:link="rId105"/>
        <a:stretch>
          <a:fillRect/>
        </a:stretch>
      </xdr:blipFill>
      <xdr:spPr>
        <a:xfrm>
          <a:off x="8427720" y="461436085"/>
          <a:ext cx="2450465" cy="15132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0" name="ID_DAEF7384F9CF4B9EB97C740F2FA28A72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8858250" y="228307900"/>
          <a:ext cx="4962525" cy="488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5" name="ID_F5E05BA3035A43EAB31A6D8757539DA8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9246870" y="33924875"/>
          <a:ext cx="3609975" cy="3476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4" name="ID_C7BFFFD692EF44F6AEC4D85BA81B389D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8858250" y="359371900"/>
          <a:ext cx="4467225" cy="4257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EE1229F48E8E4E78BD1763FBC47F0B1E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8858250" y="234861100"/>
          <a:ext cx="4352925" cy="390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1" name="ID_CD867B453F5E487390DF1D5CA610F878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5153025" y="3362325"/>
          <a:ext cx="4352925" cy="4276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F9208BDB91F243ACB6D1673EEEB80EC2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9732010" y="239734090"/>
          <a:ext cx="1895475" cy="981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D0AC111B6EBF45AF9D05DAC71B6AD8BB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8858250" y="247967500"/>
          <a:ext cx="4924425" cy="4467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0" name="ID_16FDC12C9D034DBB9E2C5EE40091433A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5715000" y="335968975"/>
          <a:ext cx="4981575" cy="3467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AC6D3530760F4CC99298E8166303E6AA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8858250" y="252336300"/>
          <a:ext cx="5572125" cy="3848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9C78A88ACB594AC8B2F2A8D72E66738A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8858250" y="254520700"/>
          <a:ext cx="3895725" cy="2609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99A111D47ED443C385A981FAD72B7C23"/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8858250" y="256705100"/>
          <a:ext cx="4410075" cy="4076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5" name="ID_EA5B1D349A93421BAA69F5869B3F8347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8858250" y="265442700"/>
          <a:ext cx="3200400" cy="2247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6" name="ID_4CDDFAFF311340A4B69DA0E84ED9BDAD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8858250" y="339712300"/>
          <a:ext cx="4972050" cy="462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1C2DA3FC6BE3441ABB651038E7F1B4CF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8858250" y="274180300"/>
          <a:ext cx="5172075" cy="3581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45E23E38CC204F70B250939F779F7329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8858250" y="282917900"/>
          <a:ext cx="5895975" cy="3552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" name="ID_6985CF40D4214C63B14A09BA4C9F5BE3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8858250" y="352818700"/>
          <a:ext cx="4562475" cy="453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3234E0BDACD74B66A6B79585DE2881F7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8858250" y="285102300"/>
          <a:ext cx="5248275" cy="3829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1" name="ID_62BB9832B2A34AABAEB19CCE61931DEF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4400550" y="53990875"/>
          <a:ext cx="2628900" cy="3238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3" name="ID_5C389A118073465B9F57FA8C6132D27D"/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8858250" y="357187500"/>
          <a:ext cx="2857500" cy="220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7F966A53F79D4865A06B1006405F5447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8858250" y="289471100"/>
          <a:ext cx="5000625" cy="3895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2594F5C9325E42AFABF2F5E42F71D2A3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8858250" y="291655500"/>
          <a:ext cx="4648200" cy="4276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8EC5F64C3BF8448C9052B77A846A48B4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8858250" y="302577500"/>
          <a:ext cx="2476500" cy="207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8" name="ID_940D872CC8F341E8881CFD97A02895EE"/>
        <xdr:cNvPicPr>
          <a:picLocks noChangeAspect="1"/>
        </xdr:cNvPicPr>
      </xdr:nvPicPr>
      <xdr:blipFill>
        <a:blip r:embed="rId203" r:link="rId105"/>
        <a:srcRect l="6085" t="4106" r="6235" b="10981"/>
        <a:stretch>
          <a:fillRect/>
        </a:stretch>
      </xdr:blipFill>
      <xdr:spPr>
        <a:xfrm>
          <a:off x="8387715" y="448248405"/>
          <a:ext cx="2475230" cy="170307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2" name="ID_2007BCB487C04C72B5FEB3BB68E5E8CA"/>
        <xdr:cNvPicPr>
          <a:picLocks noChangeAspect="1"/>
        </xdr:cNvPicPr>
      </xdr:nvPicPr>
      <xdr:blipFill>
        <a:blip r:embed="rId204"/>
        <a:stretch>
          <a:fillRect/>
        </a:stretch>
      </xdr:blipFill>
      <xdr:spPr>
        <a:xfrm>
          <a:off x="8858250" y="304761900"/>
          <a:ext cx="4486275" cy="4029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9" name="ID_CEE5FBD3699E4D1BBB4CA13CCF895DCA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4600575" y="81949925"/>
          <a:ext cx="1476375" cy="2244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8" name="ID_79A4E4AC6ECA4E48AC9A8BAB2ACE2998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9697085" y="40946070"/>
          <a:ext cx="1390650" cy="1038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3" name="ID_3F188C7E99E94FECB471234E97C32051"/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8858250" y="381215900"/>
          <a:ext cx="5419725" cy="492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459206DF02124EAAAD8E257A819A8C5A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8858250" y="317868300"/>
          <a:ext cx="3362325" cy="241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10C0B64E46B841E8B7BE249998367883"/>
        <xdr:cNvPicPr>
          <a:picLocks noChangeAspect="1"/>
        </xdr:cNvPicPr>
      </xdr:nvPicPr>
      <xdr:blipFill>
        <a:blip r:embed="rId209"/>
        <a:stretch>
          <a:fillRect/>
        </a:stretch>
      </xdr:blipFill>
      <xdr:spPr>
        <a:xfrm>
          <a:off x="8858250" y="320052700"/>
          <a:ext cx="3924300" cy="3181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B3225EDE48024E8EACE70D16315E964A"/>
        <xdr:cNvPicPr>
          <a:picLocks noChangeAspect="1"/>
        </xdr:cNvPicPr>
      </xdr:nvPicPr>
      <xdr:blipFill>
        <a:blip r:embed="rId210"/>
        <a:stretch>
          <a:fillRect/>
        </a:stretch>
      </xdr:blipFill>
      <xdr:spPr>
        <a:xfrm>
          <a:off x="9820275" y="68681600"/>
          <a:ext cx="2276475" cy="1447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C21662AFAD814D98ACDEE07390C9AB9C"/>
        <xdr:cNvPicPr>
          <a:picLocks noChangeAspect="1"/>
        </xdr:cNvPicPr>
      </xdr:nvPicPr>
      <xdr:blipFill>
        <a:blip r:embed="rId211"/>
        <a:stretch>
          <a:fillRect/>
        </a:stretch>
      </xdr:blipFill>
      <xdr:spPr>
        <a:xfrm>
          <a:off x="8858250" y="324421500"/>
          <a:ext cx="5629275" cy="434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20B9B710FC4D4DF78613BD3E8A4ADA61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8858250" y="326605900"/>
          <a:ext cx="5829300" cy="3267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9" name="ID_964E7351B1884CA792878D59F966F4FC"/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9523730" y="42749470"/>
          <a:ext cx="3019425" cy="2571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25474DC40BCE4C02A28DBEDBC392303D"/>
        <xdr:cNvPicPr>
          <a:picLocks noChangeAspect="1"/>
        </xdr:cNvPicPr>
      </xdr:nvPicPr>
      <xdr:blipFill>
        <a:blip r:embed="rId214"/>
        <a:stretch>
          <a:fillRect/>
        </a:stretch>
      </xdr:blipFill>
      <xdr:spPr>
        <a:xfrm>
          <a:off x="8858250" y="330974700"/>
          <a:ext cx="4752975" cy="5076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6" name="ID_1356F63AC0654326AB43CF8B2F08C035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4543425" y="733425"/>
          <a:ext cx="3514725" cy="3067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7" name="ID_03F8EFAFFB084BE3B6895B5B453E509D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8858250" y="341896700"/>
          <a:ext cx="4495800" cy="4381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022DEE193C8C4C4DA050D112CB2002D9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8858250" y="344081100"/>
          <a:ext cx="4524375" cy="4686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8" name="ID_258E2BC5A7934F4F911DFDE17274811F"/>
        <xdr:cNvPicPr>
          <a:picLocks noChangeAspect="1"/>
        </xdr:cNvPicPr>
      </xdr:nvPicPr>
      <xdr:blipFill>
        <a:blip r:embed="rId218"/>
        <a:stretch>
          <a:fillRect/>
        </a:stretch>
      </xdr:blipFill>
      <xdr:spPr>
        <a:xfrm>
          <a:off x="5562600" y="250723400"/>
          <a:ext cx="3752850" cy="2009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9" name="ID_AB491807D0F04F118C463AB90122BC2C"/>
        <xdr:cNvPicPr>
          <a:picLocks noChangeAspect="1"/>
        </xdr:cNvPicPr>
      </xdr:nvPicPr>
      <xdr:blipFill>
        <a:blip r:embed="rId219"/>
        <a:stretch>
          <a:fillRect/>
        </a:stretch>
      </xdr:blipFill>
      <xdr:spPr>
        <a:xfrm>
          <a:off x="8858250" y="346265500"/>
          <a:ext cx="4657725" cy="3619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2" name="ID_B29EAB138600415AB9735B8892DEE9DF"/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8858250" y="355003100"/>
          <a:ext cx="3829050" cy="2581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1" name="ID_C7A09A4CEAD74A7FA1561E7C70BFBA19"/>
        <xdr:cNvPicPr>
          <a:picLocks noChangeAspect="1"/>
        </xdr:cNvPicPr>
      </xdr:nvPicPr>
      <xdr:blipFill>
        <a:blip r:embed="rId221"/>
        <a:stretch>
          <a:fillRect/>
        </a:stretch>
      </xdr:blipFill>
      <xdr:spPr>
        <a:xfrm>
          <a:off x="9697085" y="47031275"/>
          <a:ext cx="2124075" cy="3600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6" name="ID_936421A9FF2B4BE788FBB7FD8FA87257"/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8935085" y="365996220"/>
          <a:ext cx="5467350" cy="487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2" name="ID_F11FEEC449A347E1840CC6B91CE2803A"/>
        <xdr:cNvPicPr>
          <a:picLocks noChangeAspect="1"/>
        </xdr:cNvPicPr>
      </xdr:nvPicPr>
      <xdr:blipFill>
        <a:blip r:embed="rId223"/>
        <a:stretch>
          <a:fillRect/>
        </a:stretch>
      </xdr:blipFill>
      <xdr:spPr>
        <a:xfrm>
          <a:off x="4572000" y="71723250"/>
          <a:ext cx="3505200" cy="281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9" name="ID_5DDF5AD282A949698DD8B60133636CAA"/>
        <xdr:cNvPicPr>
          <a:picLocks noChangeAspect="1"/>
        </xdr:cNvPicPr>
      </xdr:nvPicPr>
      <xdr:blipFill>
        <a:blip r:embed="rId224"/>
        <a:stretch>
          <a:fillRect/>
        </a:stretch>
      </xdr:blipFill>
      <xdr:spPr>
        <a:xfrm>
          <a:off x="8858250" y="372478300"/>
          <a:ext cx="4733925" cy="4267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2" name="ID_D8C8B165A51E4BFD9550639C343D6E75"/>
        <xdr:cNvPicPr>
          <a:picLocks noChangeAspect="1"/>
        </xdr:cNvPicPr>
      </xdr:nvPicPr>
      <xdr:blipFill>
        <a:blip r:embed="rId225"/>
        <a:stretch>
          <a:fillRect/>
        </a:stretch>
      </xdr:blipFill>
      <xdr:spPr>
        <a:xfrm>
          <a:off x="4381500" y="56521350"/>
          <a:ext cx="3038475" cy="2409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3" name="ID_7C1EE7145B214C4BB1013293DD4CB5E3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4305300" y="24723725"/>
          <a:ext cx="3867150" cy="4086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4" name="ID_57D06109A27F4ACEAA88E61A2F271B42"/>
        <xdr:cNvPicPr>
          <a:picLocks noChangeAspect="1"/>
        </xdr:cNvPicPr>
      </xdr:nvPicPr>
      <xdr:blipFill>
        <a:blip r:embed="rId227"/>
        <a:stretch>
          <a:fillRect/>
        </a:stretch>
      </xdr:blipFill>
      <xdr:spPr>
        <a:xfrm>
          <a:off x="4723130" y="79448660"/>
          <a:ext cx="2401570" cy="150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5" name="ID_470334F28D604C138E6D304887ED990F"/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>
          <a:off x="6021705" y="8299450"/>
          <a:ext cx="3124200" cy="3057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0" name="ID_3154AECD03F145B8BD60588903CDDA9D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8858250" y="374662700"/>
          <a:ext cx="5191125" cy="4000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5" name="ID_7ED3A02EB70546DA8E73E7A30B0BC836"/>
        <xdr:cNvPicPr>
          <a:picLocks noChangeAspect="1"/>
        </xdr:cNvPicPr>
      </xdr:nvPicPr>
      <xdr:blipFill>
        <a:blip r:embed="rId230"/>
        <a:stretch>
          <a:fillRect/>
        </a:stretch>
      </xdr:blipFill>
      <xdr:spPr>
        <a:xfrm>
          <a:off x="8858250" y="385584700"/>
          <a:ext cx="5191125" cy="4438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7" name="ID_88FC1AE82C2F4726A95A17D5D5744504"/>
        <xdr:cNvPicPr>
          <a:picLocks noChangeAspect="1"/>
        </xdr:cNvPicPr>
      </xdr:nvPicPr>
      <xdr:blipFill>
        <a:blip r:embed="rId231"/>
        <a:stretch>
          <a:fillRect/>
        </a:stretch>
      </xdr:blipFill>
      <xdr:spPr>
        <a:xfrm>
          <a:off x="8858250" y="389953500"/>
          <a:ext cx="4333875" cy="4362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8" name="ID_00AAF5423AD1464280B119C2CFF1C77A"/>
        <xdr:cNvPicPr>
          <a:picLocks noChangeAspect="1"/>
        </xdr:cNvPicPr>
      </xdr:nvPicPr>
      <xdr:blipFill>
        <a:blip r:embed="rId232"/>
        <a:stretch>
          <a:fillRect/>
        </a:stretch>
      </xdr:blipFill>
      <xdr:spPr>
        <a:xfrm>
          <a:off x="8858250" y="392137900"/>
          <a:ext cx="4114800" cy="4848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0" name="ID_A28DF8DDFA934A9FBA43A5E73C9A650D"/>
        <xdr:cNvPicPr>
          <a:picLocks noChangeAspect="1"/>
        </xdr:cNvPicPr>
      </xdr:nvPicPr>
      <xdr:blipFill>
        <a:blip r:embed="rId233" r:link="rId105"/>
        <a:srcRect l="13179" t="2222" r="5082" b="3141"/>
        <a:stretch>
          <a:fillRect/>
        </a:stretch>
      </xdr:blipFill>
      <xdr:spPr>
        <a:xfrm>
          <a:off x="8388985" y="445955420"/>
          <a:ext cx="2414905" cy="182435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49" name="ID_767814184CFB463CA3E4932F0B23F406"/>
        <xdr:cNvPicPr>
          <a:picLocks noChangeAspect="1"/>
        </xdr:cNvPicPr>
      </xdr:nvPicPr>
      <xdr:blipFill>
        <a:blip r:embed="rId234"/>
        <a:stretch>
          <a:fillRect/>
        </a:stretch>
      </xdr:blipFill>
      <xdr:spPr>
        <a:xfrm>
          <a:off x="8858250" y="394322300"/>
          <a:ext cx="5029200" cy="4324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3" name="ID_81AA9F8595F1478BB2C99006808C97C8"/>
        <xdr:cNvPicPr>
          <a:picLocks noChangeAspect="1"/>
        </xdr:cNvPicPr>
      </xdr:nvPicPr>
      <xdr:blipFill>
        <a:blip r:embed="rId235"/>
        <a:stretch>
          <a:fillRect/>
        </a:stretch>
      </xdr:blipFill>
      <xdr:spPr>
        <a:xfrm>
          <a:off x="8858250" y="403059900"/>
          <a:ext cx="4200525" cy="4143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5" name="ID_EF09A4649870464B9FC4C1E2770988B5"/>
        <xdr:cNvPicPr>
          <a:picLocks noChangeAspect="1"/>
        </xdr:cNvPicPr>
      </xdr:nvPicPr>
      <xdr:blipFill>
        <a:blip r:embed="rId236"/>
        <a:stretch>
          <a:fillRect/>
        </a:stretch>
      </xdr:blipFill>
      <xdr:spPr>
        <a:xfrm>
          <a:off x="8858250" y="407428700"/>
          <a:ext cx="4486275" cy="509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0" name="ID_C248FBF4ABC1453BA8D71067F7319636"/>
        <xdr:cNvPicPr>
          <a:picLocks noChangeAspect="1"/>
        </xdr:cNvPicPr>
      </xdr:nvPicPr>
      <xdr:blipFill>
        <a:blip r:embed="rId237"/>
        <a:stretch>
          <a:fillRect/>
        </a:stretch>
      </xdr:blipFill>
      <xdr:spPr>
        <a:xfrm>
          <a:off x="8858250" y="6451600"/>
          <a:ext cx="1409700" cy="1352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1" name="ID_527AE2E4C93444B79B4C44E875510CE8"/>
        <xdr:cNvPicPr>
          <a:picLocks noChangeAspect="1"/>
        </xdr:cNvPicPr>
      </xdr:nvPicPr>
      <xdr:blipFill>
        <a:blip r:embed="rId238"/>
        <a:stretch>
          <a:fillRect/>
        </a:stretch>
      </xdr:blipFill>
      <xdr:spPr>
        <a:xfrm>
          <a:off x="8858250" y="7467600"/>
          <a:ext cx="1733550" cy="1495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6" name="ID_29119E9D787B419BB6A1B8CCFF237A12"/>
        <xdr:cNvPicPr>
          <a:picLocks noChangeAspect="1"/>
        </xdr:cNvPicPr>
      </xdr:nvPicPr>
      <xdr:blipFill>
        <a:blip r:embed="rId239" r:link="rId105"/>
        <a:stretch>
          <a:fillRect/>
        </a:stretch>
      </xdr:blipFill>
      <xdr:spPr>
        <a:xfrm>
          <a:off x="8535035" y="424041570"/>
          <a:ext cx="2040890" cy="20408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27" name="ID_391E341EB7FA44CF9F89EC3A56AB9047"/>
        <xdr:cNvPicPr>
          <a:picLocks noChangeAspect="1"/>
        </xdr:cNvPicPr>
      </xdr:nvPicPr>
      <xdr:blipFill>
        <a:blip r:embed="rId240"/>
        <a:stretch>
          <a:fillRect/>
        </a:stretch>
      </xdr:blipFill>
      <xdr:spPr>
        <a:xfrm>
          <a:off x="9397365" y="154306270"/>
          <a:ext cx="3524250" cy="3800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0" name="ID_37A308017FF24C06BB7BF7A76C63DEAD"/>
        <xdr:cNvPicPr>
          <a:picLocks noChangeAspect="1"/>
        </xdr:cNvPicPr>
      </xdr:nvPicPr>
      <xdr:blipFill>
        <a:blip r:embed="rId241" r:link="rId105"/>
        <a:srcRect l="816" t="14693" r="-200" b="15040"/>
        <a:stretch>
          <a:fillRect/>
        </a:stretch>
      </xdr:blipFill>
      <xdr:spPr>
        <a:xfrm>
          <a:off x="8487410" y="439531125"/>
          <a:ext cx="2282190" cy="161417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53" name="ID_72A323916A09437DB9C23BA6FCBC074B"/>
        <xdr:cNvPicPr>
          <a:picLocks noChangeAspect="1"/>
        </xdr:cNvPicPr>
      </xdr:nvPicPr>
      <xdr:blipFill>
        <a:blip r:embed="rId242" r:link="rId105"/>
        <a:srcRect l="14922" t="7688" r="14471" b="5022"/>
        <a:stretch>
          <a:fillRect/>
        </a:stretch>
      </xdr:blipFill>
      <xdr:spPr>
        <a:xfrm>
          <a:off x="8567420" y="441634880"/>
          <a:ext cx="2193290" cy="17653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67" name="ID_7BD7E8A5E9E4462AA99A80656DE9DE66"/>
        <xdr:cNvPicPr>
          <a:picLocks noChangeAspect="1"/>
        </xdr:cNvPicPr>
      </xdr:nvPicPr>
      <xdr:blipFill>
        <a:blip r:embed="rId243"/>
        <a:stretch>
          <a:fillRect/>
        </a:stretch>
      </xdr:blipFill>
      <xdr:spPr>
        <a:xfrm>
          <a:off x="4572000" y="10944225"/>
          <a:ext cx="3714750" cy="3419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7" name="ID_1D83872319204C19A145316DA9B045BD"/>
        <xdr:cNvPicPr>
          <a:picLocks noChangeAspect="1"/>
        </xdr:cNvPicPr>
      </xdr:nvPicPr>
      <xdr:blipFill>
        <a:blip r:embed="rId244" r:link="rId105"/>
        <a:stretch>
          <a:fillRect/>
        </a:stretch>
      </xdr:blipFill>
      <xdr:spPr>
        <a:xfrm>
          <a:off x="8460105" y="450343905"/>
          <a:ext cx="2369820" cy="18249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55" name="ID_1711A186A2024910A3BAE5FEBF7E5C62"/>
        <xdr:cNvPicPr>
          <a:picLocks noChangeAspect="1"/>
        </xdr:cNvPicPr>
      </xdr:nvPicPr>
      <xdr:blipFill>
        <a:blip r:embed="rId245" r:link="rId105"/>
        <a:stretch>
          <a:fillRect/>
        </a:stretch>
      </xdr:blipFill>
      <xdr:spPr>
        <a:xfrm>
          <a:off x="8537575" y="454726675"/>
          <a:ext cx="1906905" cy="19069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61" name="ID_F2F3527DF4EF46AEA01066FA8A6125DE"/>
        <xdr:cNvPicPr>
          <a:picLocks noChangeAspect="1"/>
        </xdr:cNvPicPr>
      </xdr:nvPicPr>
      <xdr:blipFill>
        <a:blip r:embed="rId246" r:link="rId105"/>
        <a:stretch>
          <a:fillRect/>
        </a:stretch>
      </xdr:blipFill>
      <xdr:spPr>
        <a:xfrm>
          <a:off x="8337550" y="463630645"/>
          <a:ext cx="2530475" cy="16827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48" name="ID_6832AA8718BE4F7694FDBEC1EFF6A85D"/>
        <xdr:cNvPicPr>
          <a:picLocks noChangeAspect="1"/>
        </xdr:cNvPicPr>
      </xdr:nvPicPr>
      <xdr:blipFill>
        <a:blip r:embed="rId247"/>
        <a:stretch>
          <a:fillRect/>
        </a:stretch>
      </xdr:blipFill>
      <xdr:spPr>
        <a:xfrm>
          <a:off x="5562600" y="47523400"/>
          <a:ext cx="2352675" cy="1666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0" name="ID_0EB28338E7C74E62AD5DDE47FE02D87D"/>
        <xdr:cNvPicPr>
          <a:picLocks noChangeAspect="1"/>
        </xdr:cNvPicPr>
      </xdr:nvPicPr>
      <xdr:blipFill>
        <a:blip r:embed="rId248" r:link="rId105"/>
        <a:stretch>
          <a:fillRect/>
        </a:stretch>
      </xdr:blipFill>
      <xdr:spPr>
        <a:xfrm>
          <a:off x="8649970" y="465644230"/>
          <a:ext cx="1910080" cy="18008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59" name="ID_7929FE5F4FEF454B898D1C640F37934D"/>
        <xdr:cNvPicPr>
          <a:picLocks noChangeAspect="1"/>
        </xdr:cNvPicPr>
      </xdr:nvPicPr>
      <xdr:blipFill>
        <a:blip r:embed="rId249" r:link="rId105"/>
        <a:stretch>
          <a:fillRect/>
        </a:stretch>
      </xdr:blipFill>
      <xdr:spPr>
        <a:xfrm>
          <a:off x="8605520" y="467832440"/>
          <a:ext cx="1917065" cy="191706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65" name="ID_9F3871C0DC784BD2A9B56AFA16C83AD7"/>
        <xdr:cNvPicPr>
          <a:picLocks noChangeAspect="1"/>
        </xdr:cNvPicPr>
      </xdr:nvPicPr>
      <xdr:blipFill>
        <a:blip r:embed="rId250" r:link="rId105"/>
        <a:stretch>
          <a:fillRect/>
        </a:stretch>
      </xdr:blipFill>
      <xdr:spPr>
        <a:xfrm>
          <a:off x="8460105" y="469928575"/>
          <a:ext cx="2465705" cy="19392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64" name="ID_A8F242AADF254C83BF501C1FF627AB5D"/>
        <xdr:cNvPicPr>
          <a:picLocks noChangeAspect="1"/>
        </xdr:cNvPicPr>
      </xdr:nvPicPr>
      <xdr:blipFill>
        <a:blip r:embed="rId251"/>
        <a:stretch>
          <a:fillRect/>
        </a:stretch>
      </xdr:blipFill>
      <xdr:spPr>
        <a:xfrm>
          <a:off x="8773160" y="472215210"/>
          <a:ext cx="1330325" cy="18370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5B086361C86F4124A6A29F0C0197E377"/>
        <xdr:cNvPicPr>
          <a:picLocks noChangeAspect="1"/>
        </xdr:cNvPicPr>
      </xdr:nvPicPr>
      <xdr:blipFill>
        <a:blip r:embed="rId252"/>
        <a:stretch>
          <a:fillRect/>
        </a:stretch>
      </xdr:blipFill>
      <xdr:spPr>
        <a:xfrm>
          <a:off x="8192135" y="574675"/>
          <a:ext cx="1276350" cy="1047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4" name="ID_F6B5CDAA41284270A4A0DEC6C8BFD51A"/>
        <xdr:cNvPicPr>
          <a:picLocks noChangeAspect="1"/>
        </xdr:cNvPicPr>
      </xdr:nvPicPr>
      <xdr:blipFill>
        <a:blip r:embed="rId253"/>
        <a:stretch>
          <a:fillRect/>
        </a:stretch>
      </xdr:blipFill>
      <xdr:spPr>
        <a:xfrm>
          <a:off x="4410075" y="64112775"/>
          <a:ext cx="2724150" cy="2486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6" name="ID_1ECC95AA916A4887925A5A3F3216A1C0"/>
        <xdr:cNvPicPr>
          <a:picLocks noChangeAspect="1"/>
        </xdr:cNvPicPr>
      </xdr:nvPicPr>
      <xdr:blipFill>
        <a:blip r:embed="rId254"/>
        <a:stretch>
          <a:fillRect/>
        </a:stretch>
      </xdr:blipFill>
      <xdr:spPr>
        <a:xfrm>
          <a:off x="4552950" y="3190875"/>
          <a:ext cx="2390775" cy="2505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5" name="ID_373A02504BE2414A8F954A78CB36905B"/>
        <xdr:cNvPicPr>
          <a:picLocks noChangeAspect="1"/>
        </xdr:cNvPicPr>
      </xdr:nvPicPr>
      <xdr:blipFill>
        <a:blip r:embed="rId255"/>
        <a:stretch>
          <a:fillRect/>
        </a:stretch>
      </xdr:blipFill>
      <xdr:spPr>
        <a:xfrm>
          <a:off x="4362450" y="39973250"/>
          <a:ext cx="3552825" cy="3000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1" name="ID_803B8DD3E9F244F28264F8F9A8979591"/>
        <xdr:cNvPicPr>
          <a:picLocks noChangeAspect="1"/>
        </xdr:cNvPicPr>
      </xdr:nvPicPr>
      <xdr:blipFill>
        <a:blip r:embed="rId256"/>
        <a:stretch>
          <a:fillRect/>
        </a:stretch>
      </xdr:blipFill>
      <xdr:spPr>
        <a:xfrm>
          <a:off x="4486275" y="9598025"/>
          <a:ext cx="2905125" cy="2686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2" name="ID_C38F72240DE94E5D905E1B31A38F8960"/>
        <xdr:cNvPicPr>
          <a:picLocks noChangeAspect="1"/>
        </xdr:cNvPicPr>
      </xdr:nvPicPr>
      <xdr:blipFill>
        <a:blip r:embed="rId257"/>
        <a:stretch>
          <a:fillRect/>
        </a:stretch>
      </xdr:blipFill>
      <xdr:spPr>
        <a:xfrm>
          <a:off x="4267200" y="37471350"/>
          <a:ext cx="5181600" cy="4076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4" name="ID_95A6871B0BBC4999ABD93EC1DAC9C42D"/>
        <xdr:cNvPicPr>
          <a:picLocks noChangeAspect="1"/>
        </xdr:cNvPicPr>
      </xdr:nvPicPr>
      <xdr:blipFill>
        <a:blip r:embed="rId258"/>
        <a:stretch>
          <a:fillRect/>
        </a:stretch>
      </xdr:blipFill>
      <xdr:spPr>
        <a:xfrm>
          <a:off x="4619625" y="714375"/>
          <a:ext cx="3143250" cy="2952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2" name="ID_C08BDEB0ABA24782A05C841953C2D83C"/>
        <xdr:cNvPicPr>
          <a:picLocks noChangeAspect="1"/>
        </xdr:cNvPicPr>
      </xdr:nvPicPr>
      <xdr:blipFill>
        <a:blip r:embed="rId259"/>
        <a:stretch>
          <a:fillRect/>
        </a:stretch>
      </xdr:blipFill>
      <xdr:spPr>
        <a:xfrm>
          <a:off x="5698490" y="51497865"/>
          <a:ext cx="1864360" cy="1756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4" name="ID_80FF065EC3CD48BBAE0BD177E0F6A029"/>
        <xdr:cNvPicPr>
          <a:picLocks noChangeAspect="1"/>
        </xdr:cNvPicPr>
      </xdr:nvPicPr>
      <xdr:blipFill>
        <a:blip r:embed="rId260"/>
        <a:stretch>
          <a:fillRect/>
        </a:stretch>
      </xdr:blipFill>
      <xdr:spPr>
        <a:xfrm>
          <a:off x="5562600" y="57683400"/>
          <a:ext cx="2314575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5" name="ID_E082C0E22F154E22B716E5A6387CC152"/>
        <xdr:cNvPicPr>
          <a:picLocks noChangeAspect="1"/>
        </xdr:cNvPicPr>
      </xdr:nvPicPr>
      <xdr:blipFill>
        <a:blip r:embed="rId261"/>
        <a:stretch>
          <a:fillRect/>
        </a:stretch>
      </xdr:blipFill>
      <xdr:spPr>
        <a:xfrm>
          <a:off x="4694555" y="57781825"/>
          <a:ext cx="2592070" cy="2305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6" name="ID_EAB3F337AFB2408C9B14A4EC2E802137"/>
        <xdr:cNvPicPr>
          <a:picLocks noChangeAspect="1"/>
        </xdr:cNvPicPr>
      </xdr:nvPicPr>
      <xdr:blipFill>
        <a:blip r:embed="rId262"/>
        <a:stretch>
          <a:fillRect/>
        </a:stretch>
      </xdr:blipFill>
      <xdr:spPr>
        <a:xfrm>
          <a:off x="4457700" y="62804675"/>
          <a:ext cx="3267075" cy="2505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8" name="ID_47B84B5297F5417EB6478AC349C7399D"/>
        <xdr:cNvPicPr>
          <a:picLocks noChangeAspect="1"/>
        </xdr:cNvPicPr>
      </xdr:nvPicPr>
      <xdr:blipFill>
        <a:blip r:embed="rId263"/>
        <a:stretch>
          <a:fillRect/>
        </a:stretch>
      </xdr:blipFill>
      <xdr:spPr>
        <a:xfrm>
          <a:off x="4429125" y="65430400"/>
          <a:ext cx="2085975" cy="2571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9" name="ID_6916C2EF02C645BD91E5B25665776A87"/>
        <xdr:cNvPicPr>
          <a:picLocks noChangeAspect="1"/>
        </xdr:cNvPicPr>
      </xdr:nvPicPr>
      <xdr:blipFill>
        <a:blip r:embed="rId264"/>
        <a:stretch>
          <a:fillRect/>
        </a:stretch>
      </xdr:blipFill>
      <xdr:spPr>
        <a:xfrm>
          <a:off x="5638800" y="48806100"/>
          <a:ext cx="2314575" cy="2190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7" name="ID_89A6D425C79544DF914EF614C15871F0"/>
        <xdr:cNvPicPr>
          <a:picLocks noChangeAspect="1"/>
        </xdr:cNvPicPr>
      </xdr:nvPicPr>
      <xdr:blipFill>
        <a:blip r:embed="rId265"/>
        <a:stretch>
          <a:fillRect/>
        </a:stretch>
      </xdr:blipFill>
      <xdr:spPr>
        <a:xfrm>
          <a:off x="4371975" y="45110400"/>
          <a:ext cx="2524125" cy="2562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8" name="ID_54611BBB583F4EAEA36C6A36722075A1"/>
        <xdr:cNvPicPr>
          <a:picLocks noChangeAspect="1"/>
        </xdr:cNvPicPr>
      </xdr:nvPicPr>
      <xdr:blipFill>
        <a:blip r:embed="rId266"/>
        <a:stretch>
          <a:fillRect/>
        </a:stretch>
      </xdr:blipFill>
      <xdr:spPr>
        <a:xfrm>
          <a:off x="4486275" y="3419475"/>
          <a:ext cx="2667000" cy="3667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0" name="ID_5C5C795AB8904014B3E2D95EAAAA2516"/>
        <xdr:cNvPicPr>
          <a:picLocks noChangeAspect="1"/>
        </xdr:cNvPicPr>
      </xdr:nvPicPr>
      <xdr:blipFill>
        <a:blip r:embed="rId267"/>
        <a:stretch>
          <a:fillRect/>
        </a:stretch>
      </xdr:blipFill>
      <xdr:spPr>
        <a:xfrm>
          <a:off x="4486275" y="3267075"/>
          <a:ext cx="3695700" cy="1762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2" name="ID_17C7B384076E4DE29CEB24402F962F0B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4486275" y="56426100"/>
          <a:ext cx="2819400" cy="3143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6" name="ID_049E1CE48E254D41B4A1AA83DF628572"/>
        <xdr:cNvPicPr>
          <a:picLocks noChangeAspect="1"/>
        </xdr:cNvPicPr>
      </xdr:nvPicPr>
      <xdr:blipFill>
        <a:blip r:embed="rId269"/>
        <a:stretch>
          <a:fillRect/>
        </a:stretch>
      </xdr:blipFill>
      <xdr:spPr>
        <a:xfrm>
          <a:off x="4276725" y="33670875"/>
          <a:ext cx="3181350" cy="303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7" name="ID_FB62CA9A79E141568BE8416F56D33399"/>
        <xdr:cNvPicPr>
          <a:picLocks noChangeAspect="1"/>
        </xdr:cNvPicPr>
      </xdr:nvPicPr>
      <xdr:blipFill>
        <a:blip r:embed="rId270"/>
        <a:stretch>
          <a:fillRect/>
        </a:stretch>
      </xdr:blipFill>
      <xdr:spPr>
        <a:xfrm>
          <a:off x="4533900" y="3095625"/>
          <a:ext cx="3114675" cy="3152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0" name="ID_B891CB511E5341C48D10EA51A8088805"/>
        <xdr:cNvPicPr>
          <a:picLocks noChangeAspect="1"/>
        </xdr:cNvPicPr>
      </xdr:nvPicPr>
      <xdr:blipFill>
        <a:blip r:embed="rId271"/>
        <a:stretch>
          <a:fillRect/>
        </a:stretch>
      </xdr:blipFill>
      <xdr:spPr>
        <a:xfrm>
          <a:off x="4543425" y="61582300"/>
          <a:ext cx="1733550" cy="1447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4" name="ID_B739F4BF3E554D8E87AAC4E0F98F8DAE"/>
        <xdr:cNvPicPr>
          <a:picLocks noChangeAspect="1"/>
        </xdr:cNvPicPr>
      </xdr:nvPicPr>
      <xdr:blipFill>
        <a:blip r:embed="rId272"/>
        <a:stretch>
          <a:fillRect/>
        </a:stretch>
      </xdr:blipFill>
      <xdr:spPr>
        <a:xfrm>
          <a:off x="4533900" y="76841350"/>
          <a:ext cx="2219325" cy="1533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3" name="ID_CC58823F5B5E4C5889BBF5D469467F37"/>
        <xdr:cNvPicPr>
          <a:picLocks noChangeAspect="1"/>
        </xdr:cNvPicPr>
      </xdr:nvPicPr>
      <xdr:blipFill>
        <a:blip r:embed="rId273"/>
        <a:stretch>
          <a:fillRect/>
        </a:stretch>
      </xdr:blipFill>
      <xdr:spPr>
        <a:xfrm>
          <a:off x="4476750" y="20951825"/>
          <a:ext cx="3495675" cy="2809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5" name="ID_95FFBE62C6A24A6DBF8A003550755B1E"/>
        <xdr:cNvPicPr>
          <a:picLocks noChangeAspect="1"/>
        </xdr:cNvPicPr>
      </xdr:nvPicPr>
      <xdr:blipFill>
        <a:blip r:embed="rId274"/>
        <a:stretch>
          <a:fillRect/>
        </a:stretch>
      </xdr:blipFill>
      <xdr:spPr>
        <a:xfrm>
          <a:off x="4438650" y="66709925"/>
          <a:ext cx="2847975" cy="3629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6" name="ID_D40A0D71072C4225BC850990C0EC4F64"/>
        <xdr:cNvPicPr>
          <a:picLocks noChangeAspect="1"/>
        </xdr:cNvPicPr>
      </xdr:nvPicPr>
      <xdr:blipFill>
        <a:blip r:embed="rId275"/>
        <a:stretch>
          <a:fillRect/>
        </a:stretch>
      </xdr:blipFill>
      <xdr:spPr>
        <a:xfrm>
          <a:off x="4457700" y="4441825"/>
          <a:ext cx="2419350" cy="2505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1" name="ID_5E9986F251564374A7BF907F12D43582"/>
        <xdr:cNvPicPr>
          <a:picLocks noChangeAspect="1"/>
        </xdr:cNvPicPr>
      </xdr:nvPicPr>
      <xdr:blipFill>
        <a:blip r:embed="rId276"/>
        <a:stretch>
          <a:fillRect/>
        </a:stretch>
      </xdr:blipFill>
      <xdr:spPr>
        <a:xfrm>
          <a:off x="4305300" y="26022300"/>
          <a:ext cx="237172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9" name="ID_543DEC4C83134C3BAE5E79F5EBFD9218"/>
        <xdr:cNvPicPr>
          <a:picLocks noChangeAspect="1"/>
        </xdr:cNvPicPr>
      </xdr:nvPicPr>
      <xdr:blipFill>
        <a:blip r:embed="rId277"/>
        <a:stretch>
          <a:fillRect/>
        </a:stretch>
      </xdr:blipFill>
      <xdr:spPr>
        <a:xfrm>
          <a:off x="4552950" y="1949450"/>
          <a:ext cx="2266950" cy="241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8" name="ID_8F1167C3AB224E36A2718471FFBAFFA5"/>
        <xdr:cNvPicPr>
          <a:picLocks noChangeAspect="1"/>
        </xdr:cNvPicPr>
      </xdr:nvPicPr>
      <xdr:blipFill>
        <a:blip r:embed="rId278"/>
        <a:stretch>
          <a:fillRect/>
        </a:stretch>
      </xdr:blipFill>
      <xdr:spPr>
        <a:xfrm>
          <a:off x="4381500" y="71828025"/>
          <a:ext cx="4057650" cy="3343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9" name="ID_7353DC78295646CE9A91583999138D9A"/>
        <xdr:cNvPicPr>
          <a:picLocks noChangeAspect="1"/>
        </xdr:cNvPicPr>
      </xdr:nvPicPr>
      <xdr:blipFill>
        <a:blip r:embed="rId279"/>
        <a:stretch>
          <a:fillRect/>
        </a:stretch>
      </xdr:blipFill>
      <xdr:spPr>
        <a:xfrm>
          <a:off x="5619750" y="330831825"/>
          <a:ext cx="2295525" cy="3209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2" name="ID_02F00617E5F644BEB5D6A2C2BFA00CB5"/>
        <xdr:cNvPicPr>
          <a:picLocks noChangeAspect="1"/>
        </xdr:cNvPicPr>
      </xdr:nvPicPr>
      <xdr:blipFill>
        <a:blip r:embed="rId280"/>
        <a:stretch>
          <a:fillRect/>
        </a:stretch>
      </xdr:blipFill>
      <xdr:spPr>
        <a:xfrm>
          <a:off x="5772150" y="334632300"/>
          <a:ext cx="4267200" cy="2924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3" name="ID_4F661DFF89F14CE99D0F199E902B8A94"/>
        <xdr:cNvPicPr>
          <a:picLocks noChangeAspect="1"/>
        </xdr:cNvPicPr>
      </xdr:nvPicPr>
      <xdr:blipFill>
        <a:blip r:embed="rId281"/>
        <a:stretch>
          <a:fillRect/>
        </a:stretch>
      </xdr:blipFill>
      <xdr:spPr>
        <a:xfrm>
          <a:off x="5829300" y="320614675"/>
          <a:ext cx="5076825" cy="4810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5" name="ID_2A2542674E094B0EB7D5A19DDAA72FE2"/>
        <xdr:cNvPicPr>
          <a:picLocks noChangeAspect="1"/>
        </xdr:cNvPicPr>
      </xdr:nvPicPr>
      <xdr:blipFill>
        <a:blip r:embed="rId282"/>
        <a:stretch>
          <a:fillRect/>
        </a:stretch>
      </xdr:blipFill>
      <xdr:spPr>
        <a:xfrm>
          <a:off x="4314825" y="73012300"/>
          <a:ext cx="3495675" cy="3324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6" name="ID_73441951B64848D79B56B3454055D057"/>
        <xdr:cNvPicPr>
          <a:picLocks noChangeAspect="1"/>
        </xdr:cNvPicPr>
      </xdr:nvPicPr>
      <xdr:blipFill>
        <a:blip r:embed="rId283"/>
        <a:stretch>
          <a:fillRect/>
        </a:stretch>
      </xdr:blipFill>
      <xdr:spPr>
        <a:xfrm>
          <a:off x="4314825" y="42637075"/>
          <a:ext cx="4238625" cy="3514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7" name="ID_CB81D43575A24AD0B2FF1A28CF4DBEAE"/>
        <xdr:cNvPicPr>
          <a:picLocks noChangeAspect="1"/>
        </xdr:cNvPicPr>
      </xdr:nvPicPr>
      <xdr:blipFill>
        <a:blip r:embed="rId284"/>
        <a:stretch>
          <a:fillRect/>
        </a:stretch>
      </xdr:blipFill>
      <xdr:spPr>
        <a:xfrm>
          <a:off x="5876925" y="332187550"/>
          <a:ext cx="3524250" cy="3886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2" name="ID_5FAEB73BB8004A4D97CFD198E40B2139"/>
        <xdr:cNvPicPr>
          <a:picLocks noChangeAspect="1"/>
        </xdr:cNvPicPr>
      </xdr:nvPicPr>
      <xdr:blipFill>
        <a:blip r:embed="rId285"/>
        <a:stretch>
          <a:fillRect/>
        </a:stretch>
      </xdr:blipFill>
      <xdr:spPr>
        <a:xfrm>
          <a:off x="4495800" y="78035150"/>
          <a:ext cx="3629025" cy="3514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3" name="ID_33013ACD0D4C4657B912F9704B8C013C"/>
        <xdr:cNvPicPr>
          <a:picLocks noChangeAspect="1"/>
        </xdr:cNvPicPr>
      </xdr:nvPicPr>
      <xdr:blipFill>
        <a:blip r:embed="rId286"/>
        <a:stretch>
          <a:fillRect/>
        </a:stretch>
      </xdr:blipFill>
      <xdr:spPr>
        <a:xfrm>
          <a:off x="4448175" y="67932300"/>
          <a:ext cx="2438400" cy="213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4" name="ID_F584B94883494E0FBAB8D47FD78A00BE"/>
        <xdr:cNvPicPr>
          <a:picLocks noChangeAspect="1"/>
        </xdr:cNvPicPr>
      </xdr:nvPicPr>
      <xdr:blipFill>
        <a:blip r:embed="rId287"/>
        <a:stretch>
          <a:fillRect/>
        </a:stretch>
      </xdr:blipFill>
      <xdr:spPr>
        <a:xfrm>
          <a:off x="4505325" y="62823725"/>
          <a:ext cx="4219575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5" name="ID_F738B49764A345A39802666503E713D7"/>
        <xdr:cNvPicPr>
          <a:picLocks noChangeAspect="1"/>
        </xdr:cNvPicPr>
      </xdr:nvPicPr>
      <xdr:blipFill>
        <a:blip r:embed="rId288"/>
        <a:stretch>
          <a:fillRect/>
        </a:stretch>
      </xdr:blipFill>
      <xdr:spPr>
        <a:xfrm>
          <a:off x="4429125" y="609600"/>
          <a:ext cx="3248025" cy="3286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6" name="ID_084D1487BA6549ADB8E4872D90E8CF2C"/>
        <xdr:cNvPicPr>
          <a:picLocks noChangeAspect="1"/>
        </xdr:cNvPicPr>
      </xdr:nvPicPr>
      <xdr:blipFill>
        <a:blip r:embed="rId289"/>
        <a:stretch>
          <a:fillRect/>
        </a:stretch>
      </xdr:blipFill>
      <xdr:spPr>
        <a:xfrm>
          <a:off x="4324350" y="31149925"/>
          <a:ext cx="3190875" cy="2962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0" name="ID_28ECC52504604BCC880ED9EE793BEA2F"/>
        <xdr:cNvPicPr>
          <a:picLocks noChangeAspect="1"/>
        </xdr:cNvPicPr>
      </xdr:nvPicPr>
      <xdr:blipFill>
        <a:blip r:embed="rId290"/>
        <a:stretch>
          <a:fillRect/>
        </a:stretch>
      </xdr:blipFill>
      <xdr:spPr>
        <a:xfrm>
          <a:off x="4543425" y="74358500"/>
          <a:ext cx="2590800" cy="2838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1" name="ID_9F44273E9D8547FB96EED65828939963"/>
        <xdr:cNvPicPr>
          <a:picLocks noChangeAspect="1"/>
        </xdr:cNvPicPr>
      </xdr:nvPicPr>
      <xdr:blipFill>
        <a:blip r:embed="rId291"/>
        <a:stretch>
          <a:fillRect/>
        </a:stretch>
      </xdr:blipFill>
      <xdr:spPr>
        <a:xfrm>
          <a:off x="4657090" y="65432940"/>
          <a:ext cx="2061845" cy="1334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2" name="ID_96E3E56D28BA4599BC367CF4D2F591FA"/>
        <xdr:cNvPicPr>
          <a:picLocks noChangeAspect="1"/>
        </xdr:cNvPicPr>
      </xdr:nvPicPr>
      <xdr:blipFill>
        <a:blip r:embed="rId292"/>
        <a:stretch>
          <a:fillRect/>
        </a:stretch>
      </xdr:blipFill>
      <xdr:spPr>
        <a:xfrm>
          <a:off x="4467225" y="69135625"/>
          <a:ext cx="1647825" cy="2095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3" name="ID_774F0382F8B34BB2AF6323226C2205BC"/>
        <xdr:cNvPicPr>
          <a:picLocks noChangeAspect="1"/>
        </xdr:cNvPicPr>
      </xdr:nvPicPr>
      <xdr:blipFill>
        <a:blip r:embed="rId293"/>
        <a:stretch>
          <a:fillRect/>
        </a:stretch>
      </xdr:blipFill>
      <xdr:spPr>
        <a:xfrm>
          <a:off x="4314825" y="38741350"/>
          <a:ext cx="4772025" cy="3733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4" name="ID_7BBDE209DF6D406DA21F650BFE3E2059"/>
        <xdr:cNvPicPr>
          <a:picLocks noChangeAspect="1"/>
        </xdr:cNvPicPr>
      </xdr:nvPicPr>
      <xdr:blipFill>
        <a:blip r:embed="rId294"/>
        <a:stretch>
          <a:fillRect/>
        </a:stretch>
      </xdr:blipFill>
      <xdr:spPr>
        <a:xfrm>
          <a:off x="4410075" y="61582300"/>
          <a:ext cx="3114675" cy="2847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5" name="ID_4F3483950B084BF88BB0C292251A6B67"/>
        <xdr:cNvPicPr>
          <a:picLocks noChangeAspect="1"/>
        </xdr:cNvPicPr>
      </xdr:nvPicPr>
      <xdr:blipFill>
        <a:blip r:embed="rId295"/>
        <a:stretch>
          <a:fillRect/>
        </a:stretch>
      </xdr:blipFill>
      <xdr:spPr>
        <a:xfrm>
          <a:off x="4591050" y="3257550"/>
          <a:ext cx="2724150" cy="3352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6" name="ID_8D58E57E81A343308D609D3338E300E3"/>
        <xdr:cNvPicPr>
          <a:picLocks noChangeAspect="1"/>
        </xdr:cNvPicPr>
      </xdr:nvPicPr>
      <xdr:blipFill>
        <a:blip r:embed="rId296"/>
        <a:stretch>
          <a:fillRect/>
        </a:stretch>
      </xdr:blipFill>
      <xdr:spPr>
        <a:xfrm>
          <a:off x="4276725" y="36144200"/>
          <a:ext cx="4543425" cy="3781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8" name="ID_B23031381BBD4850AB8865E3CB2FE747"/>
        <xdr:cNvPicPr>
          <a:picLocks noChangeAspect="1"/>
        </xdr:cNvPicPr>
      </xdr:nvPicPr>
      <xdr:blipFill>
        <a:blip r:embed="rId297"/>
        <a:stretch>
          <a:fillRect/>
        </a:stretch>
      </xdr:blipFill>
      <xdr:spPr>
        <a:xfrm>
          <a:off x="4371975" y="60223400"/>
          <a:ext cx="2571750" cy="2524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9" name="ID_E179265EC83C459FB3DDD9156B39D795"/>
        <xdr:cNvPicPr>
          <a:picLocks noChangeAspect="1"/>
        </xdr:cNvPicPr>
      </xdr:nvPicPr>
      <xdr:blipFill>
        <a:blip r:embed="rId298"/>
        <a:stretch>
          <a:fillRect/>
        </a:stretch>
      </xdr:blipFill>
      <xdr:spPr>
        <a:xfrm>
          <a:off x="4257675" y="29879925"/>
          <a:ext cx="4810125" cy="3952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0" name="ID_BE2A9B9913F04C13817C097A77B26009"/>
        <xdr:cNvPicPr>
          <a:picLocks noChangeAspect="1"/>
        </xdr:cNvPicPr>
      </xdr:nvPicPr>
      <xdr:blipFill>
        <a:blip r:embed="rId299"/>
        <a:stretch>
          <a:fillRect/>
        </a:stretch>
      </xdr:blipFill>
      <xdr:spPr>
        <a:xfrm>
          <a:off x="5743575" y="50133250"/>
          <a:ext cx="2200275" cy="2162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1" name="ID_8D6BED59C40D45339EBAC6E6688657A9"/>
        <xdr:cNvPicPr>
          <a:picLocks noChangeAspect="1"/>
        </xdr:cNvPicPr>
      </xdr:nvPicPr>
      <xdr:blipFill>
        <a:blip r:embed="rId300"/>
        <a:stretch>
          <a:fillRect/>
        </a:stretch>
      </xdr:blipFill>
      <xdr:spPr>
        <a:xfrm>
          <a:off x="4758690" y="66804540"/>
          <a:ext cx="2651760" cy="2331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3" name="ID_7991CDCA70024EA0865FEE9612A6D9A3"/>
        <xdr:cNvPicPr>
          <a:picLocks noChangeAspect="1"/>
        </xdr:cNvPicPr>
      </xdr:nvPicPr>
      <xdr:blipFill>
        <a:blip r:embed="rId301"/>
        <a:stretch>
          <a:fillRect/>
        </a:stretch>
      </xdr:blipFill>
      <xdr:spPr>
        <a:xfrm>
          <a:off x="4305300" y="41319450"/>
          <a:ext cx="5133975" cy="4229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4" name="ID_83C07190B7E5432E8CB97BF4F3ACB9F3"/>
        <xdr:cNvPicPr>
          <a:picLocks noChangeAspect="1"/>
        </xdr:cNvPicPr>
      </xdr:nvPicPr>
      <xdr:blipFill>
        <a:blip r:embed="rId302"/>
        <a:stretch>
          <a:fillRect/>
        </a:stretch>
      </xdr:blipFill>
      <xdr:spPr>
        <a:xfrm>
          <a:off x="6029325" y="704850"/>
          <a:ext cx="1543050" cy="1704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5" name="ID_B916D3A17C1E47A99E636600497B4B36"/>
        <xdr:cNvPicPr>
          <a:picLocks noChangeAspect="1"/>
        </xdr:cNvPicPr>
      </xdr:nvPicPr>
      <xdr:blipFill>
        <a:blip r:embed="rId303"/>
        <a:stretch>
          <a:fillRect/>
        </a:stretch>
      </xdr:blipFill>
      <xdr:spPr>
        <a:xfrm>
          <a:off x="5562600" y="243103400"/>
          <a:ext cx="2352675" cy="1762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6" name="ID_FE4D04C49BC946D9903EF855536E83C9"/>
        <xdr:cNvPicPr>
          <a:picLocks noChangeAspect="1"/>
        </xdr:cNvPicPr>
      </xdr:nvPicPr>
      <xdr:blipFill>
        <a:blip r:embed="rId304"/>
        <a:stretch>
          <a:fillRect/>
        </a:stretch>
      </xdr:blipFill>
      <xdr:spPr>
        <a:xfrm>
          <a:off x="5743575" y="319458975"/>
          <a:ext cx="3257550" cy="3457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7" name="ID_876B2BA88790430BA6D08F0552DE226B"/>
        <xdr:cNvPicPr>
          <a:picLocks noChangeAspect="1"/>
        </xdr:cNvPicPr>
      </xdr:nvPicPr>
      <xdr:blipFill>
        <a:blip r:embed="rId305"/>
        <a:stretch>
          <a:fillRect/>
        </a:stretch>
      </xdr:blipFill>
      <xdr:spPr>
        <a:xfrm>
          <a:off x="4362450" y="78130400"/>
          <a:ext cx="3019425" cy="333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8" name="ID_45C62EB2D43940D8B46A304652AE48AE"/>
        <xdr:cNvPicPr>
          <a:picLocks noChangeAspect="1"/>
        </xdr:cNvPicPr>
      </xdr:nvPicPr>
      <xdr:blipFill>
        <a:blip r:embed="rId306"/>
        <a:stretch>
          <a:fillRect/>
        </a:stretch>
      </xdr:blipFill>
      <xdr:spPr>
        <a:xfrm>
          <a:off x="4305300" y="47523400"/>
          <a:ext cx="1504950" cy="3200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9" name="ID_53E487C8CC6B44A393E6B34225A7501E"/>
        <xdr:cNvPicPr>
          <a:picLocks noChangeAspect="1"/>
        </xdr:cNvPicPr>
      </xdr:nvPicPr>
      <xdr:blipFill>
        <a:blip r:embed="rId307"/>
        <a:stretch>
          <a:fillRect/>
        </a:stretch>
      </xdr:blipFill>
      <xdr:spPr>
        <a:xfrm>
          <a:off x="4371975" y="43907075"/>
          <a:ext cx="3390900" cy="3467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0" name="ID_B70094E87EF1410E8EF1C6E5F1660F4B"/>
        <xdr:cNvPicPr>
          <a:picLocks noChangeAspect="1"/>
        </xdr:cNvPicPr>
      </xdr:nvPicPr>
      <xdr:blipFill>
        <a:blip r:embed="rId308"/>
        <a:stretch>
          <a:fillRect/>
        </a:stretch>
      </xdr:blipFill>
      <xdr:spPr>
        <a:xfrm>
          <a:off x="4429125" y="83191350"/>
          <a:ext cx="2381250" cy="3257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" name="ID_29F230E0AAE6464288DBEDEB3A98A688"/>
        <xdr:cNvPicPr>
          <a:picLocks noChangeAspect="1"/>
        </xdr:cNvPicPr>
      </xdr:nvPicPr>
      <xdr:blipFill>
        <a:blip r:embed="rId309"/>
        <a:stretch>
          <a:fillRect/>
        </a:stretch>
      </xdr:blipFill>
      <xdr:spPr>
        <a:xfrm>
          <a:off x="4505325" y="74425175"/>
          <a:ext cx="5419725" cy="333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2" name="ID_CBAE4F1AC85844CCB7B05AE7DFBCD70D"/>
        <xdr:cNvPicPr>
          <a:picLocks noChangeAspect="1"/>
        </xdr:cNvPicPr>
      </xdr:nvPicPr>
      <xdr:blipFill>
        <a:blip r:embed="rId310"/>
        <a:stretch>
          <a:fillRect/>
        </a:stretch>
      </xdr:blipFill>
      <xdr:spPr>
        <a:xfrm>
          <a:off x="4695825" y="82092800"/>
          <a:ext cx="2266950" cy="2257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3" name="ID_6A50154C1DDD42809EB23195437033DD"/>
        <xdr:cNvPicPr>
          <a:picLocks noChangeAspect="1"/>
        </xdr:cNvPicPr>
      </xdr:nvPicPr>
      <xdr:blipFill>
        <a:blip r:embed="rId311"/>
        <a:stretch>
          <a:fillRect/>
        </a:stretch>
      </xdr:blipFill>
      <xdr:spPr>
        <a:xfrm>
          <a:off x="4419600" y="50209450"/>
          <a:ext cx="2171700" cy="3152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4" name="ID_C2F336BB6827411BA204CE33DB96E6D1"/>
        <xdr:cNvPicPr>
          <a:picLocks noChangeAspect="1"/>
        </xdr:cNvPicPr>
      </xdr:nvPicPr>
      <xdr:blipFill>
        <a:blip r:embed="rId312"/>
        <a:stretch>
          <a:fillRect/>
        </a:stretch>
      </xdr:blipFill>
      <xdr:spPr>
        <a:xfrm>
          <a:off x="4486275" y="80670400"/>
          <a:ext cx="2466975" cy="266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5" name="ID_394FC76143EC4E48A68E09CE5DD61152"/>
        <xdr:cNvPicPr>
          <a:picLocks noChangeAspect="1"/>
        </xdr:cNvPicPr>
      </xdr:nvPicPr>
      <xdr:blipFill>
        <a:blip r:embed="rId313"/>
        <a:stretch>
          <a:fillRect/>
        </a:stretch>
      </xdr:blipFill>
      <xdr:spPr>
        <a:xfrm>
          <a:off x="4457700" y="59061350"/>
          <a:ext cx="2028825" cy="3800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6" name="ID_31093F73CEB9459E806F0656E6E91E8E"/>
        <xdr:cNvPicPr>
          <a:picLocks noChangeAspect="1"/>
        </xdr:cNvPicPr>
      </xdr:nvPicPr>
      <xdr:blipFill>
        <a:blip r:embed="rId314"/>
        <a:stretch>
          <a:fillRect/>
        </a:stretch>
      </xdr:blipFill>
      <xdr:spPr>
        <a:xfrm>
          <a:off x="4457700" y="64112775"/>
          <a:ext cx="2962275" cy="2971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7" name="ID_5D7F9FB15F1E45DA97DB7E0C926B7E1F"/>
        <xdr:cNvPicPr>
          <a:picLocks noChangeAspect="1"/>
        </xdr:cNvPicPr>
      </xdr:nvPicPr>
      <xdr:blipFill>
        <a:blip r:embed="rId315"/>
        <a:stretch>
          <a:fillRect/>
        </a:stretch>
      </xdr:blipFill>
      <xdr:spPr>
        <a:xfrm>
          <a:off x="4371975" y="69364225"/>
          <a:ext cx="2400300" cy="3552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8" name="ID_EB5BFA27F64947E79B4157BA0464D839"/>
        <xdr:cNvPicPr>
          <a:picLocks noChangeAspect="1"/>
        </xdr:cNvPicPr>
      </xdr:nvPicPr>
      <xdr:blipFill>
        <a:blip r:embed="rId316"/>
        <a:stretch>
          <a:fillRect/>
        </a:stretch>
      </xdr:blipFill>
      <xdr:spPr>
        <a:xfrm>
          <a:off x="4400550" y="85731350"/>
          <a:ext cx="1914525" cy="333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9" name="ID_EB6C6B8EA50E43C58342EED22CC2699D"/>
        <xdr:cNvPicPr>
          <a:picLocks noChangeAspect="1"/>
        </xdr:cNvPicPr>
      </xdr:nvPicPr>
      <xdr:blipFill>
        <a:blip r:embed="rId317"/>
        <a:stretch>
          <a:fillRect/>
        </a:stretch>
      </xdr:blipFill>
      <xdr:spPr>
        <a:xfrm>
          <a:off x="4391025" y="67979925"/>
          <a:ext cx="1362075" cy="1409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0" name="ID_561731B839344FDBB64CF51E077B187F"/>
        <xdr:cNvPicPr>
          <a:picLocks noChangeAspect="1"/>
        </xdr:cNvPicPr>
      </xdr:nvPicPr>
      <xdr:blipFill>
        <a:blip r:embed="rId318"/>
        <a:stretch>
          <a:fillRect/>
        </a:stretch>
      </xdr:blipFill>
      <xdr:spPr>
        <a:xfrm>
          <a:off x="4486275" y="60274200"/>
          <a:ext cx="2162175" cy="3314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1" name="ID_75430F4947A94D3C98C1CE909B565B02"/>
        <xdr:cNvPicPr>
          <a:picLocks noChangeAspect="1"/>
        </xdr:cNvPicPr>
      </xdr:nvPicPr>
      <xdr:blipFill>
        <a:blip r:embed="rId319"/>
        <a:stretch>
          <a:fillRect/>
        </a:stretch>
      </xdr:blipFill>
      <xdr:spPr>
        <a:xfrm>
          <a:off x="4352925" y="51460400"/>
          <a:ext cx="1895475" cy="2638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2" name="ID_4A2D4D6AD72B4DE0B2C316AA5400483C"/>
        <xdr:cNvPicPr>
          <a:picLocks noChangeAspect="1"/>
        </xdr:cNvPicPr>
      </xdr:nvPicPr>
      <xdr:blipFill>
        <a:blip r:embed="rId320"/>
        <a:stretch>
          <a:fillRect/>
        </a:stretch>
      </xdr:blipFill>
      <xdr:spPr>
        <a:xfrm>
          <a:off x="4419600" y="76879450"/>
          <a:ext cx="2152650" cy="3686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3" name="ID_69245E5021B548EC80FAEEBD9F37391A"/>
        <xdr:cNvPicPr>
          <a:picLocks noChangeAspect="1"/>
        </xdr:cNvPicPr>
      </xdr:nvPicPr>
      <xdr:blipFill>
        <a:blip r:embed="rId321"/>
        <a:stretch>
          <a:fillRect/>
        </a:stretch>
      </xdr:blipFill>
      <xdr:spPr>
        <a:xfrm>
          <a:off x="4362450" y="79428975"/>
          <a:ext cx="1971675" cy="2419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4" name="ID_C3A5D8948F944125874A72205142095D"/>
        <xdr:cNvPicPr>
          <a:picLocks noChangeAspect="1"/>
        </xdr:cNvPicPr>
      </xdr:nvPicPr>
      <xdr:blipFill>
        <a:blip r:embed="rId322"/>
        <a:stretch>
          <a:fillRect/>
        </a:stretch>
      </xdr:blipFill>
      <xdr:spPr>
        <a:xfrm>
          <a:off x="4429125" y="48863250"/>
          <a:ext cx="3695700" cy="3695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6" name="ID_F57652FAC45145E4866571D1F6CBC4FE"/>
        <xdr:cNvPicPr>
          <a:picLocks noChangeAspect="1"/>
        </xdr:cNvPicPr>
      </xdr:nvPicPr>
      <xdr:blipFill>
        <a:blip r:embed="rId323"/>
        <a:stretch>
          <a:fillRect/>
        </a:stretch>
      </xdr:blipFill>
      <xdr:spPr>
        <a:xfrm>
          <a:off x="5791200" y="333333725"/>
          <a:ext cx="3048000" cy="2838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7" name="ID_0020AE04140C43D8BE7FC538E7BD3A05"/>
        <xdr:cNvPicPr>
          <a:picLocks noChangeAspect="1"/>
        </xdr:cNvPicPr>
      </xdr:nvPicPr>
      <xdr:blipFill>
        <a:blip r:embed="rId324"/>
        <a:stretch>
          <a:fillRect/>
        </a:stretch>
      </xdr:blipFill>
      <xdr:spPr>
        <a:xfrm>
          <a:off x="4448175" y="55222775"/>
          <a:ext cx="115252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8" name="ID_C7F5AE604B4E48F294FD0471FA80C42B"/>
        <xdr:cNvPicPr>
          <a:picLocks noChangeAspect="1"/>
        </xdr:cNvPicPr>
      </xdr:nvPicPr>
      <xdr:blipFill>
        <a:blip r:embed="rId325"/>
        <a:stretch>
          <a:fillRect/>
        </a:stretch>
      </xdr:blipFill>
      <xdr:spPr>
        <a:xfrm>
          <a:off x="5667375" y="325828025"/>
          <a:ext cx="2333625" cy="163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9" name="ID_DC9F7B2D616D4FFA80CDE48B43332CE5"/>
        <xdr:cNvPicPr>
          <a:picLocks noChangeAspect="1"/>
        </xdr:cNvPicPr>
      </xdr:nvPicPr>
      <xdr:blipFill>
        <a:blip r:embed="rId326"/>
        <a:stretch>
          <a:fillRect/>
        </a:stretch>
      </xdr:blipFill>
      <xdr:spPr>
        <a:xfrm>
          <a:off x="5724525" y="337219925"/>
          <a:ext cx="2466975" cy="1971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E87B02AE2CD344A9B735B364C186A07A"/>
        <xdr:cNvPicPr>
          <a:picLocks noChangeAspect="1"/>
        </xdr:cNvPicPr>
      </xdr:nvPicPr>
      <xdr:blipFill>
        <a:blip r:embed="rId301"/>
        <a:stretch>
          <a:fillRect/>
        </a:stretch>
      </xdr:blipFill>
      <xdr:spPr>
        <a:xfrm>
          <a:off x="5351145" y="754913400"/>
          <a:ext cx="267081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8" name="ID_D3D28CB2EDA3472B9669B40E677DEB78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5262880" y="752856000"/>
          <a:ext cx="284670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5" name="ID_96709694E7AF4724B5796FF5A02BB5A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17210" y="749084100"/>
          <a:ext cx="213804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4" name="ID_75EE7DD3F7724284A7223ECCBE492FF0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6005195" y="738251635"/>
          <a:ext cx="1362710" cy="1061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EEF970679AF14080A2E1BDD208B246FA"/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5549265" y="734682300"/>
          <a:ext cx="227393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4192424DD7DE4E2FA886ACCC81348B2F"/>
        <xdr:cNvPicPr>
          <a:picLocks noChangeAspect="1"/>
        </xdr:cNvPicPr>
      </xdr:nvPicPr>
      <xdr:blipFill>
        <a:blip r:embed="rId254"/>
        <a:stretch>
          <a:fillRect/>
        </a:stretch>
      </xdr:blipFill>
      <xdr:spPr>
        <a:xfrm>
          <a:off x="5554980" y="728167200"/>
          <a:ext cx="2263140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9F2A4F8DC9CB4A1BACD7D7AD04784264"/>
        <xdr:cNvPicPr>
          <a:picLocks noChangeAspect="1"/>
        </xdr:cNvPicPr>
      </xdr:nvPicPr>
      <xdr:blipFill>
        <a:blip r:embed="rId250" r:link="rId105"/>
        <a:stretch>
          <a:fillRect/>
        </a:stretch>
      </xdr:blipFill>
      <xdr:spPr>
        <a:xfrm>
          <a:off x="5453380" y="725982800"/>
          <a:ext cx="2465705" cy="19392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1" name="ID_04C6AC58D5F2456A9E5F4F03168CEEE1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5625465" y="723880950"/>
          <a:ext cx="212153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B25CA359DA5E4296BEF94BFB14C2CEED"/>
        <xdr:cNvPicPr>
          <a:picLocks noChangeAspect="1"/>
        </xdr:cNvPicPr>
      </xdr:nvPicPr>
      <xdr:blipFill>
        <a:blip r:embed="rId221"/>
        <a:stretch>
          <a:fillRect/>
        </a:stretch>
      </xdr:blipFill>
      <xdr:spPr>
        <a:xfrm>
          <a:off x="6138545" y="721995000"/>
          <a:ext cx="109537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AD6BE3D123044FCCB6917D6DE6215B6C"/>
        <xdr:cNvPicPr>
          <a:picLocks noChangeAspect="1"/>
        </xdr:cNvPicPr>
      </xdr:nvPicPr>
      <xdr:blipFill>
        <a:blip r:embed="rId255"/>
        <a:stretch>
          <a:fillRect/>
        </a:stretch>
      </xdr:blipFill>
      <xdr:spPr>
        <a:xfrm>
          <a:off x="5383530" y="719766150"/>
          <a:ext cx="2605405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9" name="ID_F891D94557314AFD9CBCC63E51D28634"/>
        <xdr:cNvPicPr>
          <a:picLocks noChangeAspect="1"/>
        </xdr:cNvPicPr>
      </xdr:nvPicPr>
      <xdr:blipFill>
        <a:blip r:embed="rId293"/>
        <a:stretch>
          <a:fillRect/>
        </a:stretch>
      </xdr:blipFill>
      <xdr:spPr>
        <a:xfrm>
          <a:off x="5280660" y="717537300"/>
          <a:ext cx="281178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4" name="ID_91B14FF139BC42DB9302932AFE8A0CB3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5622290" y="713079600"/>
          <a:ext cx="212852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5" name="ID_3DF693E3EEA240FDA0160FDD049BAE50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5639435" y="711022200"/>
          <a:ext cx="209359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6" name="ID_035E6090903944B4888937E74CF6485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5730240" y="709136250"/>
          <a:ext cx="191262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9" name="ID_097AAFBE3CF84284B9B962BAAEA37B74"/>
        <xdr:cNvPicPr>
          <a:picLocks noChangeAspect="1"/>
        </xdr:cNvPicPr>
      </xdr:nvPicPr>
      <xdr:blipFill>
        <a:blip r:embed="rId257"/>
        <a:stretch>
          <a:fillRect/>
        </a:stretch>
      </xdr:blipFill>
      <xdr:spPr>
        <a:xfrm>
          <a:off x="5397500" y="707078850"/>
          <a:ext cx="257810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1" name="ID_28CF33FDA445473DA931B09BF2CB8EDF"/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5374640" y="701249550"/>
          <a:ext cx="262318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2" name="ID_A8C09B363CB94EB5B5C6F382E2E7119C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5401945" y="698849250"/>
          <a:ext cx="2568575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3" name="ID_B3AB3C1CAA774AFC9F8BE0B6B17A634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719445" y="696710570"/>
          <a:ext cx="1933575" cy="1676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4" name="ID_DBA4A940454C4421B1FCB3039A927B60"/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5181600" y="694220100"/>
          <a:ext cx="300926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6" name="ID_0F23DB6A40904FBDA1B7BF4A0B9E0AD0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5325110" y="691476900"/>
          <a:ext cx="2722880" cy="2714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7" name="ID_670E6049B2314CE7B4C9DCE42228E555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5751830" y="689590950"/>
          <a:ext cx="186880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8" name="ID_989A6139473D4229BDCC33B70A9C1A5D"/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>
          <a:off x="5562600" y="687362100"/>
          <a:ext cx="224790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9" name="ID_778CF43770B144AE88B074C515A29783"/>
        <xdr:cNvPicPr>
          <a:picLocks noChangeAspect="1"/>
        </xdr:cNvPicPr>
      </xdr:nvPicPr>
      <xdr:blipFill>
        <a:blip r:embed="rId267"/>
        <a:stretch>
          <a:fillRect/>
        </a:stretch>
      </xdr:blipFill>
      <xdr:spPr>
        <a:xfrm>
          <a:off x="5153025" y="685330735"/>
          <a:ext cx="3067050" cy="1461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0" name="ID_473AD28775004BF1A4FA9690B764EA2A"/>
        <xdr:cNvPicPr>
          <a:picLocks noChangeAspect="1"/>
        </xdr:cNvPicPr>
      </xdr:nvPicPr>
      <xdr:blipFill>
        <a:blip r:embed="rId219"/>
        <a:stretch>
          <a:fillRect/>
        </a:stretch>
      </xdr:blipFill>
      <xdr:spPr>
        <a:xfrm>
          <a:off x="5271135" y="677418000"/>
          <a:ext cx="283083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3" name="ID_287C96749174487B933FE139A43EA66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655310" y="673303200"/>
          <a:ext cx="206184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4" name="ID_EE5E4C3A4BAA4D9FAC882B18C3DB9451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5707380" y="671245800"/>
          <a:ext cx="195834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5" name="ID_B13D5B8F6DA84A0C82824AF1661A6A7B"/>
        <xdr:cNvPicPr>
          <a:picLocks noChangeAspect="1"/>
        </xdr:cNvPicPr>
      </xdr:nvPicPr>
      <xdr:blipFill>
        <a:blip r:embed="rId302"/>
        <a:stretch>
          <a:fillRect/>
        </a:stretch>
      </xdr:blipFill>
      <xdr:spPr>
        <a:xfrm>
          <a:off x="5915025" y="669350325"/>
          <a:ext cx="1543050" cy="1704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6" name="ID_A0CACFCA058D4BB699AA47118B4B35A3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5733415" y="667302450"/>
          <a:ext cx="190563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7" name="ID_A29426B1A68348BFAC23BC1C17AA81BE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5596890" y="665245050"/>
          <a:ext cx="217868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8" name="ID_853028C733CC43D88989681E2F9C463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527040" y="663187650"/>
          <a:ext cx="231838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9" name="ID_DA8A74B4BA4141CAB8EBBA38F945D1F4"/>
        <xdr:cNvPicPr>
          <a:picLocks noChangeAspect="1"/>
        </xdr:cNvPicPr>
      </xdr:nvPicPr>
      <xdr:blipFill>
        <a:blip r:embed="rId308"/>
        <a:stretch>
          <a:fillRect/>
        </a:stretch>
      </xdr:blipFill>
      <xdr:spPr>
        <a:xfrm>
          <a:off x="6007735" y="661301700"/>
          <a:ext cx="135763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0" name="ID_C14215B4971D4272B12B6C3B687482B6"/>
        <xdr:cNvPicPr>
          <a:picLocks noChangeAspect="1"/>
        </xdr:cNvPicPr>
      </xdr:nvPicPr>
      <xdr:blipFill>
        <a:blip r:embed="rId236"/>
        <a:stretch>
          <a:fillRect/>
        </a:stretch>
      </xdr:blipFill>
      <xdr:spPr>
        <a:xfrm>
          <a:off x="5793740" y="654615150"/>
          <a:ext cx="178562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1" name="ID_BE4F1E98B5014D109FE96DB56973406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843270" y="652691100"/>
          <a:ext cx="1685925" cy="1590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3" name="ID_1F01C3E8F0164A28897D571CE508883C"/>
        <xdr:cNvPicPr>
          <a:picLocks noChangeAspect="1"/>
        </xdr:cNvPicPr>
      </xdr:nvPicPr>
      <xdr:blipFill>
        <a:blip r:embed="rId310"/>
        <a:stretch>
          <a:fillRect/>
        </a:stretch>
      </xdr:blipFill>
      <xdr:spPr>
        <a:xfrm>
          <a:off x="5753735" y="648271500"/>
          <a:ext cx="186499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5" name="ID_045BF7A17B774241B22951969CB08D64"/>
        <xdr:cNvPicPr>
          <a:picLocks noChangeAspect="1"/>
        </xdr:cNvPicPr>
      </xdr:nvPicPr>
      <xdr:blipFill>
        <a:blip r:embed="rId269"/>
        <a:stretch>
          <a:fillRect/>
        </a:stretch>
      </xdr:blipFill>
      <xdr:spPr>
        <a:xfrm>
          <a:off x="5714365" y="646385550"/>
          <a:ext cx="194437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6" name="ID_4A5363346002418D92147FEE70AA4046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5735955" y="644499600"/>
          <a:ext cx="190055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" name="ID_B9ADAF316BF4455790D82BD85FD35106"/>
        <xdr:cNvPicPr>
          <a:picLocks noChangeAspect="1"/>
        </xdr:cNvPicPr>
      </xdr:nvPicPr>
      <xdr:blipFill>
        <a:blip r:embed="rId235"/>
        <a:stretch>
          <a:fillRect/>
        </a:stretch>
      </xdr:blipFill>
      <xdr:spPr>
        <a:xfrm>
          <a:off x="5657850" y="640556250"/>
          <a:ext cx="205676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9" name="ID_9034E0B1F3834AB89423317FED66A0D4"/>
        <xdr:cNvPicPr>
          <a:picLocks noChangeAspect="1"/>
        </xdr:cNvPicPr>
      </xdr:nvPicPr>
      <xdr:blipFill>
        <a:blip r:embed="rId214"/>
        <a:stretch>
          <a:fillRect/>
        </a:stretch>
      </xdr:blipFill>
      <xdr:spPr>
        <a:xfrm>
          <a:off x="5817235" y="638670300"/>
          <a:ext cx="173863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1" name="ID_F8DC646C8D174528B78447F023AB3FA5"/>
        <xdr:cNvPicPr>
          <a:picLocks noChangeAspect="1"/>
        </xdr:cNvPicPr>
      </xdr:nvPicPr>
      <xdr:blipFill>
        <a:blip r:embed="rId312"/>
        <a:stretch>
          <a:fillRect/>
        </a:stretch>
      </xdr:blipFill>
      <xdr:spPr>
        <a:xfrm>
          <a:off x="5906770" y="636955800"/>
          <a:ext cx="1558925" cy="168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2" name="ID_6A2AB91347ED4D608AC31B980DF3FAAE"/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5696585" y="635241300"/>
          <a:ext cx="1979295" cy="168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3" name="ID_DC2196FFDA484AA686E135BED21B03F8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5776595" y="633921770"/>
          <a:ext cx="1819275" cy="106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4" name="ID_CF88DEA2322C48EDBD9053D09D59098A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5153025" y="631881515"/>
          <a:ext cx="3067050" cy="1718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5" name="ID_A00A9742B2834C709136655E38137D18"/>
        <xdr:cNvPicPr>
          <a:picLocks noChangeAspect="1"/>
        </xdr:cNvPicPr>
      </xdr:nvPicPr>
      <xdr:blipFill>
        <a:blip r:embed="rId211"/>
        <a:stretch>
          <a:fillRect/>
        </a:stretch>
      </xdr:blipFill>
      <xdr:spPr>
        <a:xfrm>
          <a:off x="5372100" y="629754900"/>
          <a:ext cx="262890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6" name="ID_71107CF0737F408DB31477BFD4EDAA8E"/>
        <xdr:cNvPicPr>
          <a:picLocks noChangeAspect="1"/>
        </xdr:cNvPicPr>
      </xdr:nvPicPr>
      <xdr:blipFill>
        <a:blip r:embed="rId321"/>
        <a:stretch>
          <a:fillRect/>
        </a:stretch>
      </xdr:blipFill>
      <xdr:spPr>
        <a:xfrm>
          <a:off x="5929630" y="625125750"/>
          <a:ext cx="151320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8" name="ID_623111231B6E4B708E36C28C77EDF441"/>
        <xdr:cNvPicPr>
          <a:picLocks noChangeAspect="1"/>
        </xdr:cNvPicPr>
      </xdr:nvPicPr>
      <xdr:blipFill>
        <a:blip r:embed="rId209"/>
        <a:stretch>
          <a:fillRect/>
        </a:stretch>
      </xdr:blipFill>
      <xdr:spPr>
        <a:xfrm>
          <a:off x="5329555" y="620668050"/>
          <a:ext cx="271399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0" name="ID_3321713A67A0446EB5ED95926F10BE3C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5276850" y="618610650"/>
          <a:ext cx="281940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1" name="ID_CFE300F5AE7F4196948F2A30E8ABA88D"/>
        <xdr:cNvPicPr>
          <a:picLocks noChangeAspect="1"/>
        </xdr:cNvPicPr>
      </xdr:nvPicPr>
      <xdr:blipFill>
        <a:blip r:embed="rId280"/>
        <a:stretch>
          <a:fillRect/>
        </a:stretch>
      </xdr:blipFill>
      <xdr:spPr>
        <a:xfrm>
          <a:off x="5153025" y="616431330"/>
          <a:ext cx="3067050" cy="2101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2" name="ID_45E9489DF0B1447491C0C0ACBB378EA5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5153025" y="614575860"/>
          <a:ext cx="3067050" cy="1696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3" name="ID_F78016432EB14A1F8241FE976826823D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153025" y="612559735"/>
          <a:ext cx="3067050" cy="1786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4" name="ID_50B3680095D8400CAF15774FA719975D"/>
        <xdr:cNvPicPr>
          <a:picLocks noChangeAspect="1"/>
        </xdr:cNvPicPr>
      </xdr:nvPicPr>
      <xdr:blipFill>
        <a:blip r:embed="rId289"/>
        <a:stretch>
          <a:fillRect/>
        </a:stretch>
      </xdr:blipFill>
      <xdr:spPr>
        <a:xfrm>
          <a:off x="5686425" y="610552500"/>
          <a:ext cx="200025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5" name="ID_5A4C3971F11A4717B2BB32E76ACAB709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6149340" y="608838000"/>
          <a:ext cx="1074420" cy="168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7" name="ID_4082010B03A54C3B870A696D40F2AA3D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5495925" y="604542225"/>
          <a:ext cx="2381250" cy="1876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9" name="ID_AD5B5597338D4829A3A22B3EE93F9F2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833745" y="599422220"/>
          <a:ext cx="1704975" cy="1657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0" name="ID_20D8FF2CF9B34AD8AA9A5C4F8F8C4D96"/>
        <xdr:cNvPicPr>
          <a:picLocks noChangeAspect="1"/>
        </xdr:cNvPicPr>
      </xdr:nvPicPr>
      <xdr:blipFill>
        <a:blip r:embed="rId251"/>
        <a:stretch>
          <a:fillRect/>
        </a:stretch>
      </xdr:blipFill>
      <xdr:spPr>
        <a:xfrm>
          <a:off x="6021070" y="596332310"/>
          <a:ext cx="1330325" cy="18370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1" name="ID_5C9C9274D0AC4FE1AF929E6CD56ACF66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5674360" y="593750400"/>
          <a:ext cx="202438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2" name="ID_517AAD6707BD4D1AA722C71E513596F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5556250" y="591693000"/>
          <a:ext cx="225996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3" name="ID_DD6515D4FCC846718FBBC92CFD9EE091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5868670" y="589635600"/>
          <a:ext cx="163576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4" name="ID_CDC5F65AD524434F8864363ECAAD82B6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5991225" y="588159225"/>
          <a:ext cx="1390650" cy="1038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5" name="ID_CEF042EC27524F628D552EA0762AC771"/>
        <xdr:cNvPicPr>
          <a:picLocks noChangeAspect="1"/>
        </xdr:cNvPicPr>
      </xdr:nvPicPr>
      <xdr:blipFill>
        <a:blip r:embed="rId204"/>
        <a:stretch>
          <a:fillRect/>
        </a:stretch>
      </xdr:blipFill>
      <xdr:spPr>
        <a:xfrm>
          <a:off x="5652770" y="585863700"/>
          <a:ext cx="206756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6" name="ID_D32565481B924474AB6A7C65B15042A5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5681345" y="584149200"/>
          <a:ext cx="2010410" cy="168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7" name="ID_8E2B99566F51413A8CF8460D8D944D0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5514975" y="582701400"/>
          <a:ext cx="2343150" cy="981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8" name="ID_F07BACC99A114741BD11484B2F2C8C94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5549265" y="580377300"/>
          <a:ext cx="227393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9" name="ID_DFE72E49030441A4B0DB65D539D75E7C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550535" y="578319900"/>
          <a:ext cx="227139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0" name="ID_9D96C5717D454A3AB1608BBB32C82B8D"/>
        <xdr:cNvPicPr>
          <a:picLocks noChangeAspect="1"/>
        </xdr:cNvPicPr>
      </xdr:nvPicPr>
      <xdr:blipFill>
        <a:blip r:embed="rId244" r:link="rId105"/>
        <a:stretch>
          <a:fillRect/>
        </a:stretch>
      </xdr:blipFill>
      <xdr:spPr>
        <a:xfrm>
          <a:off x="5501640" y="576106925"/>
          <a:ext cx="2369820" cy="18249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72" name="ID_D39559C3777E486799477120A00EDA58"/>
        <xdr:cNvPicPr>
          <a:picLocks noChangeAspect="1"/>
        </xdr:cNvPicPr>
      </xdr:nvPicPr>
      <xdr:blipFill>
        <a:blip r:embed="rId304"/>
        <a:stretch>
          <a:fillRect/>
        </a:stretch>
      </xdr:blipFill>
      <xdr:spPr>
        <a:xfrm>
          <a:off x="5569585" y="571290450"/>
          <a:ext cx="2233930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3" name="ID_A4BA7F7239CC4F9CA5FAB2C3A40FE866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5754370" y="569404500"/>
          <a:ext cx="186436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4" name="ID_FB3B54A057464358B8C62F734100B3E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896610" y="567690000"/>
          <a:ext cx="1579245" cy="168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5" name="ID_1A5751D307384B9985EE847798B9765B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5584190" y="565632600"/>
          <a:ext cx="220472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6" name="ID_F6724715175E47AC993143B553025D3D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436235" y="563232300"/>
          <a:ext cx="2500630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7" name="ID_DD030BA8EEDD40E397F855AE4E76728E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5384165" y="561174900"/>
          <a:ext cx="260413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8" name="ID_1B0C2E9C215F40718A27E9D2BE66B769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5153025" y="559487070"/>
          <a:ext cx="3067050" cy="1118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9" name="ID_CE34999C56ED4CEE8CC1D506F2AD5054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5295900" y="554659800"/>
          <a:ext cx="278066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0" name="ID_C8A604D7ECCF409487E58AB333AC1AF6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5153025" y="552606845"/>
          <a:ext cx="3067050" cy="1847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1" name="ID_AD3E3D531C4B438AAF065F846299BC37"/>
        <xdr:cNvPicPr>
          <a:picLocks noChangeAspect="1"/>
        </xdr:cNvPicPr>
      </xdr:nvPicPr>
      <xdr:blipFill>
        <a:blip r:embed="rId298"/>
        <a:stretch>
          <a:fillRect/>
        </a:stretch>
      </xdr:blipFill>
      <xdr:spPr>
        <a:xfrm>
          <a:off x="5452110" y="550373550"/>
          <a:ext cx="246824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2" name="ID_B055AC7BDAFD41C09396A52B195A370C"/>
        <xdr:cNvPicPr>
          <a:picLocks noChangeAspect="1"/>
        </xdr:cNvPicPr>
      </xdr:nvPicPr>
      <xdr:blipFill>
        <a:blip r:embed="rId305"/>
        <a:stretch>
          <a:fillRect/>
        </a:stretch>
      </xdr:blipFill>
      <xdr:spPr>
        <a:xfrm>
          <a:off x="5845175" y="548487600"/>
          <a:ext cx="168211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3" name="ID_B45928BFF32341A496F2D6E015B5EA1C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5462905" y="546601650"/>
          <a:ext cx="244729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4" name="ID_BA2A6C1BD0D648B9AB1139FD563F7D7E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5334000" y="543982275"/>
          <a:ext cx="2705100" cy="2466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5" name="ID_CD1FF0ABF4754CD9AEBCDD5F4A80778C"/>
        <xdr:cNvPicPr>
          <a:picLocks noChangeAspect="1"/>
        </xdr:cNvPicPr>
      </xdr:nvPicPr>
      <xdr:blipFill>
        <a:blip r:embed="rId325"/>
        <a:stretch>
          <a:fillRect/>
        </a:stretch>
      </xdr:blipFill>
      <xdr:spPr>
        <a:xfrm>
          <a:off x="5519420" y="541738820"/>
          <a:ext cx="2333625" cy="163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6" name="ID_C5609E816CA14E56A98E6DE2C5122819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5505450" y="539400750"/>
          <a:ext cx="236220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7" name="ID_7EB6C60AFEA2426FADA8B52BE018F005"/>
        <xdr:cNvPicPr>
          <a:picLocks noChangeAspect="1"/>
        </xdr:cNvPicPr>
      </xdr:nvPicPr>
      <xdr:blipFill>
        <a:blip r:embed="rId181" r:link="rId105"/>
        <a:stretch>
          <a:fillRect/>
        </a:stretch>
      </xdr:blipFill>
      <xdr:spPr>
        <a:xfrm>
          <a:off x="5461000" y="537258260"/>
          <a:ext cx="2450465" cy="15132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88" name="ID_456B87199CFD457AA7276DBACCC9A7B4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5932170" y="534771600"/>
          <a:ext cx="150812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9" name="ID_33C43E93432543D58F66B3178E500272"/>
        <xdr:cNvPicPr>
          <a:picLocks noChangeAspect="1"/>
        </xdr:cNvPicPr>
      </xdr:nvPicPr>
      <xdr:blipFill>
        <a:blip r:embed="rId295"/>
        <a:stretch>
          <a:fillRect/>
        </a:stretch>
      </xdr:blipFill>
      <xdr:spPr>
        <a:xfrm>
          <a:off x="5932170" y="532885650"/>
          <a:ext cx="150876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1" name="ID_F11AF5D8E0E54595AAD70EFDD702E282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5867400" y="531127970"/>
          <a:ext cx="1638300" cy="125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2" name="ID_5E1868EBE17A490190BABBF0DCF36C17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5227955" y="529161375"/>
          <a:ext cx="2917190" cy="107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3" name="ID_89821512E7F74293AF16EADAAD5A104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153025" y="522090650"/>
          <a:ext cx="3067050" cy="2359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4" name="ID_D2850578CE4E44C1A0BFCE0E1C1938F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153025" y="519362690"/>
          <a:ext cx="3067050" cy="2156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5" name="ID_FE72AD28B3464760BC9EC955DC512131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6075680" y="517112250"/>
          <a:ext cx="122110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6" name="ID_F10742B4E2144A199647E8C9140AB336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5221605" y="515054850"/>
          <a:ext cx="292989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7" name="ID_D5514AC56AD44FE89EEA92D64548FFF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919470" y="513168900"/>
          <a:ext cx="153416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8" name="ID_80AB8B83E31F412C95A42260A3B05B81"/>
        <xdr:cNvPicPr>
          <a:picLocks noChangeAspect="1"/>
        </xdr:cNvPicPr>
      </xdr:nvPicPr>
      <xdr:blipFill>
        <a:blip r:embed="rId259"/>
        <a:stretch>
          <a:fillRect/>
        </a:stretch>
      </xdr:blipFill>
      <xdr:spPr>
        <a:xfrm>
          <a:off x="5754370" y="511333115"/>
          <a:ext cx="1864360" cy="1756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0" name="ID_AE4656575A2F4E2E8CAC0F3A232E4EF3"/>
        <xdr:cNvPicPr>
          <a:picLocks noChangeAspect="1"/>
        </xdr:cNvPicPr>
      </xdr:nvPicPr>
      <xdr:blipFill>
        <a:blip r:embed="rId246" r:link="rId105"/>
        <a:stretch>
          <a:fillRect/>
        </a:stretch>
      </xdr:blipFill>
      <xdr:spPr>
        <a:xfrm>
          <a:off x="5420995" y="505969270"/>
          <a:ext cx="2530475" cy="16827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01" name="ID_FD333C8D348D44E8A75D277B16ECF90E"/>
        <xdr:cNvPicPr>
          <a:picLocks noChangeAspect="1"/>
        </xdr:cNvPicPr>
      </xdr:nvPicPr>
      <xdr:blipFill>
        <a:blip r:embed="rId320"/>
        <a:stretch>
          <a:fillRect/>
        </a:stretch>
      </xdr:blipFill>
      <xdr:spPr>
        <a:xfrm>
          <a:off x="6194425" y="502539000"/>
          <a:ext cx="984250" cy="168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3" name="ID_F05E537D6CA742858C0225100B785F4B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5628640" y="500481600"/>
          <a:ext cx="211582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5" name="ID_8107ADEAF5DD4490ABE20AD90B0F30CA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5242560" y="496366800"/>
          <a:ext cx="288798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6" name="ID_F4BFCD6EAB5743F49685B28AE29924DF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5313045" y="494480850"/>
          <a:ext cx="274701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8" name="ID_E5BC904CAF9D452CAE7239ABAA028B65"/>
        <xdr:cNvPicPr>
          <a:picLocks noChangeAspect="1"/>
        </xdr:cNvPicPr>
      </xdr:nvPicPr>
      <xdr:blipFill>
        <a:blip r:embed="rId242" r:link="rId105"/>
        <a:srcRect l="14922" t="7688" r="14471" b="5022"/>
        <a:stretch>
          <a:fillRect/>
        </a:stretch>
      </xdr:blipFill>
      <xdr:spPr>
        <a:xfrm>
          <a:off x="5589905" y="490926120"/>
          <a:ext cx="2193290" cy="17653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09" name="ID_A470529FB8E74CCAAE8C63EE9EAD95B3"/>
        <xdr:cNvPicPr>
          <a:picLocks noChangeAspect="1"/>
        </xdr:cNvPicPr>
      </xdr:nvPicPr>
      <xdr:blipFill>
        <a:blip r:embed="rId233" r:link="rId105"/>
        <a:srcRect l="13179" t="2222" r="5082" b="3141"/>
        <a:stretch>
          <a:fillRect/>
        </a:stretch>
      </xdr:blipFill>
      <xdr:spPr>
        <a:xfrm>
          <a:off x="5478780" y="488153710"/>
          <a:ext cx="2414905" cy="182435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10" name="ID_A194928DF88348DAB1C3B5AB929755D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183630" y="485565450"/>
          <a:ext cx="1005840" cy="168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1" name="ID_9C85A06D7B144D84A12394A11897522A"/>
        <xdr:cNvPicPr>
          <a:picLocks noChangeAspect="1"/>
        </xdr:cNvPicPr>
      </xdr:nvPicPr>
      <xdr:blipFill>
        <a:blip r:embed="rId252"/>
        <a:stretch>
          <a:fillRect/>
        </a:stretch>
      </xdr:blipFill>
      <xdr:spPr>
        <a:xfrm>
          <a:off x="6048375" y="484341170"/>
          <a:ext cx="1276350" cy="1047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3" name="ID_70C3D0E8D8494F389D51F297A11AF389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5783580" y="480421950"/>
          <a:ext cx="180530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4" name="ID_9A4E3ABD1D2841D28905509416FC0ED6"/>
        <xdr:cNvPicPr>
          <a:picLocks noChangeAspect="1"/>
        </xdr:cNvPicPr>
      </xdr:nvPicPr>
      <xdr:blipFill>
        <a:blip r:embed="rId241" r:link="rId105"/>
        <a:srcRect l="816" t="14693" r="-200" b="15040"/>
        <a:stretch>
          <a:fillRect/>
        </a:stretch>
      </xdr:blipFill>
      <xdr:spPr>
        <a:xfrm>
          <a:off x="5545455" y="478057210"/>
          <a:ext cx="2282190" cy="161417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15" name="ID_51DBFC5273DA45488B1B048330A528D7"/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5589270" y="475278450"/>
          <a:ext cx="219456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6" name="ID_D8B4CD5D884749228E649CC85F9E7E22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5172075" y="473221050"/>
          <a:ext cx="302831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7" name="ID_DB9D8B6BB77A46B4AC99869E95A3016A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5341620" y="471335100"/>
          <a:ext cx="268922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9" name="ID_D4C86A9A5AF843A4A935471F2CB2092D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5349240" y="469449150"/>
          <a:ext cx="267398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1" name="ID_FADC0FD1F6A14D4685EFF15482A025FC"/>
        <xdr:cNvPicPr>
          <a:picLocks noChangeAspect="1"/>
        </xdr:cNvPicPr>
      </xdr:nvPicPr>
      <xdr:blipFill>
        <a:blip r:embed="rId227"/>
        <a:stretch>
          <a:fillRect/>
        </a:stretch>
      </xdr:blipFill>
      <xdr:spPr>
        <a:xfrm>
          <a:off x="5485765" y="463369025"/>
          <a:ext cx="2401570" cy="1501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2" name="ID_31AD6252F8CD4D21BD57D9E85E9CD3D8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5662930" y="461219550"/>
          <a:ext cx="204724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3" name="ID_737BF641E9254B2FB5EB825014DC1D96"/>
        <xdr:cNvPicPr>
          <a:picLocks noChangeAspect="1"/>
        </xdr:cNvPicPr>
      </xdr:nvPicPr>
      <xdr:blipFill>
        <a:blip r:embed="rId285"/>
        <a:stretch>
          <a:fillRect/>
        </a:stretch>
      </xdr:blipFill>
      <xdr:spPr>
        <a:xfrm>
          <a:off x="5639435" y="459162150"/>
          <a:ext cx="209423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5" name="ID_ACBDD4EA130F4E569FF618AFA8F5A1C0"/>
        <xdr:cNvPicPr>
          <a:picLocks noChangeAspect="1"/>
        </xdr:cNvPicPr>
      </xdr:nvPicPr>
      <xdr:blipFill>
        <a:blip r:embed="rId272"/>
        <a:stretch>
          <a:fillRect/>
        </a:stretch>
      </xdr:blipFill>
      <xdr:spPr>
        <a:xfrm>
          <a:off x="5576570" y="455037825"/>
          <a:ext cx="2219325" cy="1533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6" name="ID_575F3C855971415A9DBFC9923F9400FC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5617210" y="450761100"/>
          <a:ext cx="213804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8" name="ID_C7C273F6D8ED4F789230E24E3C7EE19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972175" y="449241545"/>
          <a:ext cx="1428750" cy="1123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0" name="ID_A3EC41B5F98749FD92F8F926EE57B5D0"/>
        <xdr:cNvPicPr>
          <a:picLocks noChangeAspect="1"/>
        </xdr:cNvPicPr>
      </xdr:nvPicPr>
      <xdr:blipFill>
        <a:blip r:embed="rId256"/>
        <a:stretch>
          <a:fillRect/>
        </a:stretch>
      </xdr:blipFill>
      <xdr:spPr>
        <a:xfrm>
          <a:off x="5496560" y="446646300"/>
          <a:ext cx="2379345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1" name="ID_1BA2D91D9E134ABEA4F5798BB0D9B71E"/>
        <xdr:cNvPicPr>
          <a:picLocks noChangeAspect="1"/>
        </xdr:cNvPicPr>
      </xdr:nvPicPr>
      <xdr:blipFill>
        <a:blip r:embed="rId309"/>
        <a:stretch>
          <a:fillRect/>
        </a:stretch>
      </xdr:blipFill>
      <xdr:spPr>
        <a:xfrm>
          <a:off x="5176520" y="444760350"/>
          <a:ext cx="301942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2" name="ID_592633CA7BA64A798A70AB67743E19D5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5738495" y="443226825"/>
          <a:ext cx="1895475" cy="981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3" name="ID_68F28D07ED39470DBBB057F516417148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5781675" y="441036075"/>
          <a:ext cx="1809750" cy="1419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3" name="ID_954A7B2D9D4D4B6C94B762200EDE38E7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5651500" y="438931050"/>
          <a:ext cx="207010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9" name="ID_45CC7638F71A4C5894EF5249E02B678F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5342890" y="437045100"/>
          <a:ext cx="268732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0" name="ID_C6E334D40735453DAFD7769DA29BD38C"/>
        <xdr:cNvPicPr>
          <a:picLocks noChangeAspect="1"/>
        </xdr:cNvPicPr>
      </xdr:nvPicPr>
      <xdr:blipFill>
        <a:blip r:embed="rId282"/>
        <a:stretch>
          <a:fillRect/>
        </a:stretch>
      </xdr:blipFill>
      <xdr:spPr>
        <a:xfrm>
          <a:off x="5619750" y="434987700"/>
          <a:ext cx="213296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1" name="ID_9A028FC15C3C4BB199A4B6233F5E55AD"/>
        <xdr:cNvPicPr>
          <a:picLocks noChangeAspect="1"/>
        </xdr:cNvPicPr>
      </xdr:nvPicPr>
      <xdr:blipFill>
        <a:blip r:embed="rId290"/>
        <a:stretch>
          <a:fillRect/>
        </a:stretch>
      </xdr:blipFill>
      <xdr:spPr>
        <a:xfrm>
          <a:off x="5838825" y="433101750"/>
          <a:ext cx="169481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2" name="ID_137FF92BD3D342CEA75CBE60C9A189D4"/>
        <xdr:cNvPicPr>
          <a:picLocks noChangeAspect="1"/>
        </xdr:cNvPicPr>
      </xdr:nvPicPr>
      <xdr:blipFill>
        <a:blip r:embed="rId278"/>
        <a:stretch>
          <a:fillRect/>
        </a:stretch>
      </xdr:blipFill>
      <xdr:spPr>
        <a:xfrm>
          <a:off x="5559425" y="431215800"/>
          <a:ext cx="225425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3" name="ID_8AEE2505594E4DE28F5A6C86FA142631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5633085" y="429158400"/>
          <a:ext cx="210629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4" name="ID_C9C65125366F4577A069DA2070909915"/>
        <xdr:cNvPicPr>
          <a:picLocks noChangeAspect="1"/>
        </xdr:cNvPicPr>
      </xdr:nvPicPr>
      <xdr:blipFill>
        <a:blip r:embed="rId281"/>
        <a:stretch>
          <a:fillRect/>
        </a:stretch>
      </xdr:blipFill>
      <xdr:spPr>
        <a:xfrm>
          <a:off x="5434965" y="426758100"/>
          <a:ext cx="2503170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5" name="ID_36D9B1D26D2045F5BCA4270D78C3C6F2"/>
        <xdr:cNvPicPr>
          <a:picLocks noChangeAspect="1"/>
        </xdr:cNvPicPr>
      </xdr:nvPicPr>
      <xdr:blipFill>
        <a:blip r:embed="rId323"/>
        <a:stretch>
          <a:fillRect/>
        </a:stretch>
      </xdr:blipFill>
      <xdr:spPr>
        <a:xfrm>
          <a:off x="5413375" y="424357800"/>
          <a:ext cx="2546350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6" name="ID_86052C927D6C4640AF06F52EDE242D8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705475" y="421786050"/>
          <a:ext cx="1961515" cy="2543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7" name="ID_FCBD4AB0C7AF46F5895E295CBF3B7DA4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5656580" y="419728650"/>
          <a:ext cx="205994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8" name="ID_AAABF2C9A2FC4A68B4A96D9FC69BDCD9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5796280" y="417842700"/>
          <a:ext cx="177990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9" name="ID_2553C657CA8A42539C3E262C9F763412"/>
        <xdr:cNvPicPr>
          <a:picLocks noChangeAspect="1"/>
        </xdr:cNvPicPr>
      </xdr:nvPicPr>
      <xdr:blipFill>
        <a:blip r:embed="rId239" r:link="rId105"/>
        <a:stretch>
          <a:fillRect/>
        </a:stretch>
      </xdr:blipFill>
      <xdr:spPr>
        <a:xfrm>
          <a:off x="5757545" y="412013400"/>
          <a:ext cx="1857375" cy="18573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70" name="ID_117C3AD442AD49A3BAED89FEB7F7A257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5741670" y="409956000"/>
          <a:ext cx="188976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1" name="ID_850B35B7528D402084F727D85E9B161D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5225415" y="407898600"/>
          <a:ext cx="292227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2" name="ID_2EDEC0BA45274E95B2D552BD83A7CBFF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5573395" y="406012650"/>
          <a:ext cx="222631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3" name="ID_9B46F401AE4D4156A79657C2FFD92F93"/>
        <xdr:cNvPicPr>
          <a:picLocks noChangeAspect="1"/>
        </xdr:cNvPicPr>
      </xdr:nvPicPr>
      <xdr:blipFill>
        <a:blip r:embed="rId223"/>
        <a:stretch>
          <a:fillRect/>
        </a:stretch>
      </xdr:blipFill>
      <xdr:spPr>
        <a:xfrm>
          <a:off x="5532120" y="404126700"/>
          <a:ext cx="230886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4" name="ID_9E363508B6864E2B9BAACE5279E4275B"/>
        <xdr:cNvPicPr>
          <a:picLocks noChangeAspect="1"/>
        </xdr:cNvPicPr>
      </xdr:nvPicPr>
      <xdr:blipFill>
        <a:blip r:embed="rId284"/>
        <a:stretch>
          <a:fillRect/>
        </a:stretch>
      </xdr:blipFill>
      <xdr:spPr>
        <a:xfrm>
          <a:off x="5610860" y="401726400"/>
          <a:ext cx="2150745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5" name="ID_D9A33D0B5A23457AA4B21742E0875F0A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5681345" y="399840450"/>
          <a:ext cx="201041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6" name="ID_B758235157814CFFAA64C0AE4E1A2A30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5513070" y="397783050"/>
          <a:ext cx="234632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7" name="ID_C4CF49B06B7F41DC9B11E5F676FCF071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5567680" y="395897100"/>
          <a:ext cx="223710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9" name="ID_695AD66539A14A7D95C5409941A9ADF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6007100" y="391782300"/>
          <a:ext cx="135826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0" name="ID_ED46A3120EEE4D74B5F0BC7E5006DC4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576570" y="389467725"/>
          <a:ext cx="221932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1" name="ID_DBD7C632BD584BF28ECACF777F192A12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5672455" y="387324600"/>
          <a:ext cx="202755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2" name="ID_03E3D0CD3BDA456596F999BAAC77499A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439410" y="385438650"/>
          <a:ext cx="249364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3" name="ID_7E7BC027EEC44741959C018E90629EB5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5484495" y="383552700"/>
          <a:ext cx="240347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4" name="ID_FFF81D7F86954B75AF4654FA9CAC2A7C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5153025" y="381412750"/>
          <a:ext cx="3067050" cy="2021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5" name="ID_4856C95158114A76B612F7733185133A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447030" y="379412500"/>
          <a:ext cx="2478405" cy="1736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6" name="ID_25768EFCFEB7423BA6031D9ECAA17977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5365750" y="377244610"/>
          <a:ext cx="2641600" cy="1957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7" name="ID_171C6C9502D646CF8F0E47988AD6C53D"/>
        <xdr:cNvPicPr>
          <a:picLocks noChangeAspect="1"/>
        </xdr:cNvPicPr>
      </xdr:nvPicPr>
      <xdr:blipFill>
        <a:blip r:embed="rId292"/>
        <a:stretch>
          <a:fillRect/>
        </a:stretch>
      </xdr:blipFill>
      <xdr:spPr>
        <a:xfrm>
          <a:off x="5888990" y="375151650"/>
          <a:ext cx="159512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8" name="ID_214C14744FAB49108F67B011CB81B07F"/>
        <xdr:cNvPicPr>
          <a:picLocks noChangeAspect="1"/>
        </xdr:cNvPicPr>
      </xdr:nvPicPr>
      <xdr:blipFill>
        <a:blip r:embed="rId315"/>
        <a:stretch>
          <a:fillRect/>
        </a:stretch>
      </xdr:blipFill>
      <xdr:spPr>
        <a:xfrm>
          <a:off x="5943600" y="372922800"/>
          <a:ext cx="148590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9" name="ID_99048583F0734B13A5852048E4BD99A4"/>
        <xdr:cNvPicPr>
          <a:picLocks noChangeAspect="1"/>
        </xdr:cNvPicPr>
      </xdr:nvPicPr>
      <xdr:blipFill>
        <a:blip r:embed="rId317"/>
        <a:stretch>
          <a:fillRect/>
        </a:stretch>
      </xdr:blipFill>
      <xdr:spPr>
        <a:xfrm>
          <a:off x="6005195" y="371174645"/>
          <a:ext cx="1362075" cy="1409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0" name="ID_AE713527F44745CC873C7A39AFF14D2D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5153025" y="368823240"/>
          <a:ext cx="3067050" cy="1997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1" name="ID_64F74B0596EA4BC990D416CB52255B9E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5875020" y="366993805"/>
          <a:ext cx="1623060" cy="1713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2" name="ID_F788FC15211E4906AD9AE3890A863B4D"/>
        <xdr:cNvPicPr>
          <a:picLocks noChangeAspect="1"/>
        </xdr:cNvPicPr>
      </xdr:nvPicPr>
      <xdr:blipFill>
        <a:blip r:embed="rId286"/>
        <a:stretch>
          <a:fillRect/>
        </a:stretch>
      </xdr:blipFill>
      <xdr:spPr>
        <a:xfrm>
          <a:off x="5467350" y="364726220"/>
          <a:ext cx="2438400" cy="213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3" name="ID_EC95C4A3A6B3422F84817C37A3C70675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5332730" y="362635800"/>
          <a:ext cx="270700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4" name="ID_5B01814EA3FF46A1AF8F6D3D9D7FC1B0"/>
        <xdr:cNvPicPr>
          <a:picLocks noChangeAspect="1"/>
        </xdr:cNvPicPr>
      </xdr:nvPicPr>
      <xdr:blipFill>
        <a:blip r:embed="rId300"/>
        <a:stretch>
          <a:fillRect/>
        </a:stretch>
      </xdr:blipFill>
      <xdr:spPr>
        <a:xfrm>
          <a:off x="5532755" y="360578400"/>
          <a:ext cx="230759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5" name="ID_B61A59122E2D4501B5A2C1D8A30EE321"/>
        <xdr:cNvPicPr>
          <a:picLocks noChangeAspect="1"/>
        </xdr:cNvPicPr>
      </xdr:nvPicPr>
      <xdr:blipFill>
        <a:blip r:embed="rId291"/>
        <a:stretch>
          <a:fillRect/>
        </a:stretch>
      </xdr:blipFill>
      <xdr:spPr>
        <a:xfrm>
          <a:off x="5655310" y="358954070"/>
          <a:ext cx="2061845" cy="1334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6" name="ID_283F735343FF4791BA433251B579FB3F"/>
        <xdr:cNvPicPr>
          <a:picLocks noChangeAspect="1"/>
        </xdr:cNvPicPr>
      </xdr:nvPicPr>
      <xdr:blipFill>
        <a:blip r:embed="rId253"/>
        <a:stretch>
          <a:fillRect/>
        </a:stretch>
      </xdr:blipFill>
      <xdr:spPr>
        <a:xfrm>
          <a:off x="5574665" y="356635050"/>
          <a:ext cx="222313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7" name="ID_E7E7159766BE4CD0B88331F394618234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5812790" y="354920550"/>
          <a:ext cx="1746885" cy="168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8" name="ID_6A9CD3A31AFF47CE893B1E09139DA8C9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5331460" y="352919665"/>
          <a:ext cx="2710180" cy="1915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9" name="ID_460A65C7AEC14EF4A1E824BBAFB1F707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5757545" y="350977200"/>
          <a:ext cx="185737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1" name="ID_2B6FD20803C74147839CAD2C1DEB34A7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5481955" y="347033850"/>
          <a:ext cx="240855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2" name="ID_842E9C18E1764BB1898DA00D6B1AF428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5434330" y="345147900"/>
          <a:ext cx="250380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3" name="ID_7BA8145C8DC045DA942E4F01B5989DE7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5819140" y="343261950"/>
          <a:ext cx="173482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4" name="ID_AA82E5F717C94212940B3805C8BD3F1F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700395" y="340951820"/>
          <a:ext cx="1971675" cy="1676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6" name="ID_A2A8D0D6E0D744C589E68A1AE7D3C08A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633720" y="335332070"/>
          <a:ext cx="2105025" cy="177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7" name="ID_67242833A3014352A14AC2AEF519C8FB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5767070" y="333289275"/>
          <a:ext cx="1838325" cy="1228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8" name="ID_00E5274A23214FE29D91D67BF910215C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5986145" y="331398245"/>
          <a:ext cx="1400175" cy="106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9" name="ID_2D56D7DD68034B42A4C13EE9808BB4A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153025" y="328413110"/>
          <a:ext cx="3067050" cy="2408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0" name="ID_DF0F43331F5B45FA828AA1B23744AF81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5734050" y="326711945"/>
          <a:ext cx="1905000" cy="1524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1" name="ID_6A9BEAF75E484ACD90FA2D9AB06FDA2D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5302885" y="324745350"/>
          <a:ext cx="276733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2" name="ID_5C883FD852E74D7DB968EFA0C28AA6D4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5477510" y="322345050"/>
          <a:ext cx="2417445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3" name="ID_4F7722F69C544CDFA276EF7EDE083728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6011545" y="320116200"/>
          <a:ext cx="135001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5" name="ID_8ED3F16C14F141AABCC5822002B32CE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50230" y="316001400"/>
          <a:ext cx="207264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6" name="ID_A27FCB3B2A0845AB89ABDF761812F7D6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5724525" y="314377070"/>
          <a:ext cx="1924050" cy="133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7" name="ID_56F297EC9CD947A29A8CEB12FC11FEEB"/>
        <xdr:cNvPicPr>
          <a:picLocks noChangeAspect="1"/>
        </xdr:cNvPicPr>
      </xdr:nvPicPr>
      <xdr:blipFill>
        <a:blip r:embed="rId271"/>
        <a:stretch>
          <a:fillRect/>
        </a:stretch>
      </xdr:blipFill>
      <xdr:spPr>
        <a:xfrm>
          <a:off x="5819775" y="312348245"/>
          <a:ext cx="1733550" cy="1447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8" name="ID_79CCAC061C134A489242388F92210B21"/>
        <xdr:cNvPicPr>
          <a:picLocks noChangeAspect="1"/>
        </xdr:cNvPicPr>
      </xdr:nvPicPr>
      <xdr:blipFill>
        <a:blip r:embed="rId274"/>
        <a:stretch>
          <a:fillRect/>
        </a:stretch>
      </xdr:blipFill>
      <xdr:spPr>
        <a:xfrm>
          <a:off x="5890260" y="310000650"/>
          <a:ext cx="159194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9" name="ID_22EE8D3E01BA4EA29397C1D07D4CDD8C"/>
        <xdr:cNvPicPr>
          <a:picLocks noChangeAspect="1"/>
        </xdr:cNvPicPr>
      </xdr:nvPicPr>
      <xdr:blipFill>
        <a:blip r:embed="rId314"/>
        <a:stretch>
          <a:fillRect/>
        </a:stretch>
      </xdr:blipFill>
      <xdr:spPr>
        <a:xfrm>
          <a:off x="5760720" y="308114700"/>
          <a:ext cx="185102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0" name="ID_9EDC0F7F9CF5442BBCD0FDF27AB89BCB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5330190" y="306057300"/>
          <a:ext cx="271208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1" name="ID_4981FA5F01B349BBACBFB940770C69C1"/>
        <xdr:cNvPicPr>
          <a:picLocks noChangeAspect="1"/>
        </xdr:cNvPicPr>
      </xdr:nvPicPr>
      <xdr:blipFill>
        <a:blip r:embed="rId263"/>
        <a:stretch>
          <a:fillRect/>
        </a:stretch>
      </xdr:blipFill>
      <xdr:spPr>
        <a:xfrm>
          <a:off x="5794375" y="303828450"/>
          <a:ext cx="178435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2" name="ID_CCC9E3A88FFE40248762B0D626FE65ED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5833745" y="301999650"/>
          <a:ext cx="1704975" cy="1400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3" name="ID_CB4CC1FABCB64556AA0449ADBFD0AAF7"/>
        <xdr:cNvPicPr>
          <a:picLocks noChangeAspect="1"/>
        </xdr:cNvPicPr>
      </xdr:nvPicPr>
      <xdr:blipFill>
        <a:blip r:embed="rId232"/>
        <a:stretch>
          <a:fillRect/>
        </a:stretch>
      </xdr:blipFill>
      <xdr:spPr>
        <a:xfrm>
          <a:off x="5898515" y="299713650"/>
          <a:ext cx="157607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4" name="ID_94E177CF4C6F4A55A8BDA067DFCF7C1D"/>
        <xdr:cNvPicPr>
          <a:picLocks noChangeAspect="1"/>
        </xdr:cNvPicPr>
      </xdr:nvPicPr>
      <xdr:blipFill>
        <a:blip r:embed="rId238"/>
        <a:stretch>
          <a:fillRect/>
        </a:stretch>
      </xdr:blipFill>
      <xdr:spPr>
        <a:xfrm>
          <a:off x="5819775" y="297665775"/>
          <a:ext cx="1733550" cy="1495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5" name="ID_56A5EBADB9474040944A382A2B8C4656"/>
        <xdr:cNvPicPr>
          <a:picLocks noChangeAspect="1"/>
        </xdr:cNvPicPr>
      </xdr:nvPicPr>
      <xdr:blipFill>
        <a:blip r:embed="rId231"/>
        <a:stretch>
          <a:fillRect/>
        </a:stretch>
      </xdr:blipFill>
      <xdr:spPr>
        <a:xfrm>
          <a:off x="5763895" y="295255950"/>
          <a:ext cx="184467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6" name="ID_BC266144017A4E7A8AB52E18B948B6AD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5762625" y="293636700"/>
          <a:ext cx="1847850" cy="1323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7" name="ID_2BF328703ED5463CA3C3883E515BBEC5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5843270" y="291741225"/>
          <a:ext cx="1685925" cy="1343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8" name="ID_01329CBD067E4768BF7F2591F07AB162"/>
        <xdr:cNvPicPr>
          <a:picLocks noChangeAspect="1"/>
        </xdr:cNvPicPr>
      </xdr:nvPicPr>
      <xdr:blipFill>
        <a:blip r:embed="rId297"/>
        <a:stretch>
          <a:fillRect/>
        </a:stretch>
      </xdr:blipFill>
      <xdr:spPr>
        <a:xfrm>
          <a:off x="5652770" y="289426650"/>
          <a:ext cx="206692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9" name="ID_12729F1B055D49D4836EA15373BCD75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3075" y="287369250"/>
          <a:ext cx="226695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1" name="ID_242F9087066B4B41B35C2C50334B5114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5762625" y="283649420"/>
          <a:ext cx="1847850" cy="1238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2" name="ID_2AFFEED9F8CF4CFA84FD4F59563D7E24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772150" y="281534870"/>
          <a:ext cx="1828800" cy="1352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3" name="ID_6E6032CE7BCC4E6382F4EBC09E1BD1BB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5760085" y="278968200"/>
          <a:ext cx="185293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4" name="ID_013B5CA1B85D4BF0AD38E7B9AF2D3F92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5776595" y="277310850"/>
          <a:ext cx="1819275" cy="1400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5" name="ID_DEE2E2CC241E4495AF0013EB15FC549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29275" y="274533995"/>
          <a:ext cx="2114550" cy="163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6" name="ID_768CBA251E354484B88CD4C8C87D8A43"/>
        <xdr:cNvPicPr>
          <a:picLocks noChangeAspect="1"/>
        </xdr:cNvPicPr>
      </xdr:nvPicPr>
      <xdr:blipFill>
        <a:blip r:embed="rId287"/>
        <a:stretch>
          <a:fillRect/>
        </a:stretch>
      </xdr:blipFill>
      <xdr:spPr>
        <a:xfrm>
          <a:off x="5316220" y="271595850"/>
          <a:ext cx="274002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7" name="ID_9392E754C1D34AB99256EC25CCC76A7F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5786120" y="270119475"/>
          <a:ext cx="1800225" cy="1209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8" name="ID_12D5C3DF64694CEAA7303EC5CCE8D00E"/>
        <xdr:cNvPicPr>
          <a:picLocks noChangeAspect="1"/>
        </xdr:cNvPicPr>
      </xdr:nvPicPr>
      <xdr:blipFill>
        <a:blip r:embed="rId294"/>
        <a:stretch>
          <a:fillRect/>
        </a:stretch>
      </xdr:blipFill>
      <xdr:spPr>
        <a:xfrm>
          <a:off x="5671185" y="267995400"/>
          <a:ext cx="203073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9" name="ID_E9ABCC13394E4128BCF5A51C4338A6E4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6029325" y="266480925"/>
          <a:ext cx="1314450" cy="111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0" name="ID_1ABBE3A596424C32A77E2B99D131D05B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5824220" y="264471150"/>
          <a:ext cx="1724025" cy="119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2" name="ID_FD9BF6A8475E4DB3929C1857F7D912A6"/>
        <xdr:cNvPicPr>
          <a:picLocks noChangeAspect="1"/>
        </xdr:cNvPicPr>
      </xdr:nvPicPr>
      <xdr:blipFill>
        <a:blip r:embed="rId240"/>
        <a:stretch>
          <a:fillRect/>
        </a:stretch>
      </xdr:blipFill>
      <xdr:spPr>
        <a:xfrm>
          <a:off x="5904865" y="260623050"/>
          <a:ext cx="1563370" cy="168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3" name="ID_2E374320D8214648878A2750E127565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5824220" y="258908550"/>
          <a:ext cx="1724025" cy="1343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4" name="ID_6FFB43CC24CE4DE69BD9C2CABE125A5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301615" y="256508250"/>
          <a:ext cx="276987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6" name="ID_08E3353BC7B04F44BF347D285D5F3E95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724525" y="252107700"/>
          <a:ext cx="1924050" cy="1571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7" name="ID_3EB6E07274774EDEBC09C21CC5685BA5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5819775" y="250073795"/>
          <a:ext cx="1733550" cy="1352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8" name="ID_65D81C1521DD49CB9BEDB2D02911B92C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762625" y="248159270"/>
          <a:ext cx="1847850" cy="106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9" name="ID_4737DA09C4374BD0A24A2B6152EC5470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5948045" y="245878350"/>
          <a:ext cx="1476375" cy="1514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0" name="ID_8893C4379F614EF992186C19A235C59E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5202555" y="243855875"/>
          <a:ext cx="2967355" cy="1787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1" name="ID_EE55E6DF641346AAB2C75B2143E5E7DF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767070" y="241863245"/>
          <a:ext cx="1838325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2" name="ID_5916AAD167F7432986F2F4330F52C20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890895" y="238791750"/>
          <a:ext cx="1590675" cy="128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4" name="ID_0ED438562E13435787D0CC91E42D03E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478780" y="233362500"/>
          <a:ext cx="241554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5" name="ID_8189C537E8D742FABA53A9C2B4256151"/>
        <xdr:cNvPicPr>
          <a:picLocks noChangeAspect="1"/>
        </xdr:cNvPicPr>
      </xdr:nvPicPr>
      <xdr:blipFill>
        <a:blip r:embed="rId275"/>
        <a:stretch>
          <a:fillRect/>
        </a:stretch>
      </xdr:blipFill>
      <xdr:spPr>
        <a:xfrm>
          <a:off x="5476875" y="230724075"/>
          <a:ext cx="2419350" cy="2505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6" name="ID_1ECA3FED9B75454DBFDA04552485C97B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567045" y="228561900"/>
          <a:ext cx="2238375" cy="1514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8" name="ID_E4DEF45B89044F75B2BC4A0093C6518A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5286375" y="223418400"/>
          <a:ext cx="280035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9" name="ID_65E7A22CE1CA48FFBF8D0A440C48FA7B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5653405" y="221361000"/>
          <a:ext cx="206629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1" name="ID_0CE8FBAB271F4F449B68D9BA03A94FA4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5776595" y="217455750"/>
          <a:ext cx="1819275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2" name="ID_D1BCD96E135D4E738169ED74268ABBD9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5762625" y="215607900"/>
          <a:ext cx="1847850" cy="119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3" name="ID_523043BD880A4057BCAD543CCC915D74"/>
        <xdr:cNvPicPr>
          <a:picLocks noChangeAspect="1"/>
        </xdr:cNvPicPr>
      </xdr:nvPicPr>
      <xdr:blipFill>
        <a:blip r:embed="rId230"/>
        <a:stretch>
          <a:fillRect/>
        </a:stretch>
      </xdr:blipFill>
      <xdr:spPr>
        <a:xfrm>
          <a:off x="5500370" y="213131400"/>
          <a:ext cx="237236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4" name="ID_49B62D73B7A74BF5930FFC374056D35F"/>
        <xdr:cNvPicPr>
          <a:picLocks noChangeAspect="1"/>
        </xdr:cNvPicPr>
      </xdr:nvPicPr>
      <xdr:blipFill>
        <a:blip r:embed="rId318"/>
        <a:stretch>
          <a:fillRect/>
        </a:stretch>
      </xdr:blipFill>
      <xdr:spPr>
        <a:xfrm>
          <a:off x="6080760" y="211245450"/>
          <a:ext cx="121094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6" name="ID_A282981F444C4960B64D1720C79EC983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5781675" y="207645000"/>
          <a:ext cx="1809750" cy="1171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7" name="ID_AE3F508FFB224BD894A3C3BF70F333F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53100" y="205530450"/>
          <a:ext cx="1866900" cy="128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8" name="ID_3FFCA48757984019BB0FA1460138A16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49570" y="203015850"/>
          <a:ext cx="247396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9" name="ID_EF9977C29E894EB9B7DA00351BBE174A"/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5475605" y="200787000"/>
          <a:ext cx="2421255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0" name="ID_143C7AF3BC944136B846BAFA4C9123E1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5542280" y="198901050"/>
          <a:ext cx="228854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1" name="ID_16F538342C4B4AE2A217D8AE9D95F55C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5447030" y="197015100"/>
          <a:ext cx="247840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2" name="ID_8E0862250C3C4785BC188B214763F027"/>
        <xdr:cNvPicPr>
          <a:picLocks noChangeAspect="1"/>
        </xdr:cNvPicPr>
      </xdr:nvPicPr>
      <xdr:blipFill>
        <a:blip r:embed="rId268"/>
        <a:stretch>
          <a:fillRect/>
        </a:stretch>
      </xdr:blipFill>
      <xdr:spPr>
        <a:xfrm>
          <a:off x="5622925" y="194614800"/>
          <a:ext cx="2127250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3" name="ID_5BEE0B8E55E34DC5B3415546F3ABC112"/>
        <xdr:cNvPicPr>
          <a:picLocks noChangeAspect="1"/>
        </xdr:cNvPicPr>
      </xdr:nvPicPr>
      <xdr:blipFill>
        <a:blip r:embed="rId313"/>
        <a:stretch>
          <a:fillRect/>
        </a:stretch>
      </xdr:blipFill>
      <xdr:spPr>
        <a:xfrm>
          <a:off x="6190615" y="192728850"/>
          <a:ext cx="99123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4" name="ID_040BD62837FF49AC8037FFE25A3DC813"/>
        <xdr:cNvPicPr>
          <a:picLocks noChangeAspect="1"/>
        </xdr:cNvPicPr>
      </xdr:nvPicPr>
      <xdr:blipFill>
        <a:blip r:embed="rId270"/>
        <a:stretch>
          <a:fillRect/>
        </a:stretch>
      </xdr:blipFill>
      <xdr:spPr>
        <a:xfrm>
          <a:off x="5430520" y="190157100"/>
          <a:ext cx="2512060" cy="2543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5" name="ID_AD65270792A5446BB0CB212E1D249DD8"/>
        <xdr:cNvPicPr>
          <a:picLocks noChangeAspect="1"/>
        </xdr:cNvPicPr>
      </xdr:nvPicPr>
      <xdr:blipFill>
        <a:blip r:embed="rId266"/>
        <a:stretch>
          <a:fillRect/>
        </a:stretch>
      </xdr:blipFill>
      <xdr:spPr>
        <a:xfrm>
          <a:off x="5824220" y="187756800"/>
          <a:ext cx="1724660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6" name="ID_F11F890138F34511A03031A148EC3E1C"/>
        <xdr:cNvPicPr>
          <a:picLocks noChangeAspect="1"/>
        </xdr:cNvPicPr>
      </xdr:nvPicPr>
      <xdr:blipFill>
        <a:blip r:embed="rId277"/>
        <a:stretch>
          <a:fillRect/>
        </a:stretch>
      </xdr:blipFill>
      <xdr:spPr>
        <a:xfrm>
          <a:off x="5575300" y="185356500"/>
          <a:ext cx="2221865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8" name="ID_FEE2356E781A4ECC8CCE40ECCF3C8265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5675630" y="181241700"/>
          <a:ext cx="202120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9" name="ID_BCCE73415EDA44FFAD2EA84C7D99EF7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819775" y="179722145"/>
          <a:ext cx="1733550" cy="95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2" name="ID_EDBCE780B0D54817A1658EC813B2E3E8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5171440" y="163753800"/>
          <a:ext cx="3029585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3" name="ID_0CD9DA6C72764F4792F5C4F7A2EA0EC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62880" y="161524950"/>
          <a:ext cx="284734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4" name="ID_523B643348F04276B7B07D7F1319E79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5781675" y="159858075"/>
          <a:ext cx="1809750" cy="124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5" name="ID_4CDF50548CBC47D2B975B3DF1203F0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35320" y="157403800"/>
          <a:ext cx="1901825" cy="1355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7" name="ID_60BA67331DAE4A68BDDDF9190537A1FD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5395595" y="152147270"/>
          <a:ext cx="2581275" cy="1581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8" name="ID_7CD00BF8C7044E18AE9291B60A9150A6"/>
        <xdr:cNvPicPr>
          <a:picLocks noChangeAspect="1"/>
        </xdr:cNvPicPr>
      </xdr:nvPicPr>
      <xdr:blipFill>
        <a:blip r:embed="rId225"/>
        <a:stretch>
          <a:fillRect/>
        </a:stretch>
      </xdr:blipFill>
      <xdr:spPr>
        <a:xfrm>
          <a:off x="5515610" y="150037800"/>
          <a:ext cx="234188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9" name="ID_03CED16A45A449368C9F8365A877FCFD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5486400" y="148165820"/>
          <a:ext cx="2400300" cy="1657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0" name="ID_C0550EC4313C4D1DAAD3D74B05D23C14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5471795" y="146279870"/>
          <a:ext cx="2428875" cy="1314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1" name="ID_11E623436B1348698CF923A3647CC669"/>
        <xdr:cNvPicPr>
          <a:picLocks noChangeAspect="1"/>
        </xdr:cNvPicPr>
      </xdr:nvPicPr>
      <xdr:blipFill>
        <a:blip r:embed="rId279"/>
        <a:stretch>
          <a:fillRect/>
        </a:stretch>
      </xdr:blipFill>
      <xdr:spPr>
        <a:xfrm>
          <a:off x="5899785" y="16135350"/>
          <a:ext cx="1572895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2" name="ID_BB0A35D35C034E36B4C2F32E8B690FA3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5153025" y="13684250"/>
          <a:ext cx="3067050" cy="2129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3" name="ID_223D6A5881F448B493EE3A6B37693A9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622925" y="11506200"/>
          <a:ext cx="212661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4" name="ID_1E2E4C0609C7468FB162B88EE326898D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5153025" y="9526905"/>
          <a:ext cx="3067050" cy="1357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5" name="ID_6DBDC42181004921BDBABB7BC4C5A115"/>
        <xdr:cNvPicPr>
          <a:picLocks noChangeAspect="1"/>
        </xdr:cNvPicPr>
      </xdr:nvPicPr>
      <xdr:blipFill>
        <a:blip r:embed="rId283"/>
        <a:stretch>
          <a:fillRect/>
        </a:stretch>
      </xdr:blipFill>
      <xdr:spPr>
        <a:xfrm>
          <a:off x="5360035" y="6705600"/>
          <a:ext cx="265303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6" name="ID_1442413036534E5E855D7AAC23E00075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5153025" y="4650740"/>
          <a:ext cx="3067050" cy="20237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7" name="ID_577A8A6CAF364F10BAB71125ED7262A7"/>
        <xdr:cNvPicPr>
          <a:picLocks noChangeAspect="1"/>
        </xdr:cNvPicPr>
      </xdr:nvPicPr>
      <xdr:blipFill>
        <a:blip r:embed="rId243"/>
        <a:stretch>
          <a:fillRect/>
        </a:stretch>
      </xdr:blipFill>
      <xdr:spPr>
        <a:xfrm>
          <a:off x="5584825" y="2590800"/>
          <a:ext cx="220345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8" name="ID_83ED87306BD8475ABA416118900ADFAA"/>
        <xdr:cNvPicPr>
          <a:picLocks noChangeAspect="1"/>
        </xdr:cNvPicPr>
      </xdr:nvPicPr>
      <xdr:blipFill>
        <a:blip r:embed="rId273"/>
        <a:stretch>
          <a:fillRect/>
        </a:stretch>
      </xdr:blipFill>
      <xdr:spPr>
        <a:xfrm>
          <a:off x="5211445" y="190500"/>
          <a:ext cx="2950210" cy="237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9" name="ID_9538D744360B48D2A59FC5F577F8AFBA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393055" y="18364200"/>
          <a:ext cx="258635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0" name="ID_F5CD66C68D07475D8E2BBC778ADFCD70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5690870" y="20421600"/>
          <a:ext cx="199136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1" name="ID_BD557B08A4F54D53865299A118AEF04F"/>
        <xdr:cNvPicPr>
          <a:picLocks noChangeAspect="1"/>
        </xdr:cNvPicPr>
      </xdr:nvPicPr>
      <xdr:blipFill>
        <a:blip r:embed="rId104" r:link="rId105"/>
        <a:stretch>
          <a:fillRect/>
        </a:stretch>
      </xdr:blipFill>
      <xdr:spPr>
        <a:xfrm>
          <a:off x="5410835" y="22602825"/>
          <a:ext cx="2550795" cy="195199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02" name="ID_81AC644B46E944AF9357ACF4795EBF8C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5676265" y="24717375"/>
          <a:ext cx="202057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3" name="ID_F3EAA75162CB46858E5AF6622C50C5F4"/>
        <xdr:cNvPicPr>
          <a:picLocks noChangeAspect="1"/>
        </xdr:cNvPicPr>
      </xdr:nvPicPr>
      <xdr:blipFill>
        <a:blip r:embed="rId307"/>
        <a:stretch>
          <a:fillRect/>
        </a:stretch>
      </xdr:blipFill>
      <xdr:spPr>
        <a:xfrm>
          <a:off x="5694680" y="26593800"/>
          <a:ext cx="198374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4" name="ID_861898AA07D440DA9D642998FBF48EC0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5605145" y="28891865"/>
          <a:ext cx="2162810" cy="1718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5" name="ID_4040C1BA4AE04776BC345D6827893F6D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5286375" y="30880050"/>
          <a:ext cx="280035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7" name="ID_ED701F3960A44F119EB87B75B62DBD81"/>
        <xdr:cNvPicPr>
          <a:picLocks noChangeAspect="1"/>
        </xdr:cNvPicPr>
      </xdr:nvPicPr>
      <xdr:blipFill>
        <a:blip r:embed="rId264"/>
        <a:stretch>
          <a:fillRect/>
        </a:stretch>
      </xdr:blipFill>
      <xdr:spPr>
        <a:xfrm>
          <a:off x="5614670" y="35337750"/>
          <a:ext cx="214312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9" name="ID_DAC89E4EAA8349F1893651C6B1F50484"/>
        <xdr:cNvPicPr>
          <a:picLocks noChangeAspect="1"/>
        </xdr:cNvPicPr>
      </xdr:nvPicPr>
      <xdr:blipFill>
        <a:blip r:embed="rId326"/>
        <a:stretch>
          <a:fillRect/>
        </a:stretch>
      </xdr:blipFill>
      <xdr:spPr>
        <a:xfrm>
          <a:off x="5452745" y="39481125"/>
          <a:ext cx="2466975" cy="1971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0" name="ID_1ED2423EB69D400C8A2A6C2C4A2342AE"/>
        <xdr:cNvPicPr>
          <a:picLocks noChangeAspect="1"/>
        </xdr:cNvPicPr>
      </xdr:nvPicPr>
      <xdr:blipFill>
        <a:blip r:embed="rId265"/>
        <a:stretch>
          <a:fillRect/>
        </a:stretch>
      </xdr:blipFill>
      <xdr:spPr>
        <a:xfrm>
          <a:off x="5602605" y="41681400"/>
          <a:ext cx="2167255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1" name="ID_526F3185800B4AC2A811D481B828A27F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5464810" y="43992800"/>
          <a:ext cx="2443480" cy="1863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2" name="ID_4936F66C695845EDBEBD59105E06FED7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5153025" y="46033690"/>
          <a:ext cx="3067050" cy="18967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3" name="ID_AAF55C110ED44ADAAB10C87E3BDDD5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28995" y="48230155"/>
          <a:ext cx="1514475" cy="16186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4" name="ID_46EB58ED2D154CBC8766C874A8C2A2FB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5807710" y="50082450"/>
          <a:ext cx="175768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5" name="ID_19504E9858C14ED684A03CFDE3D52587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5372100" y="52139850"/>
          <a:ext cx="262890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6" name="ID_FFA55079C1E848F4835C31DA44F0E26B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5916295" y="54197250"/>
          <a:ext cx="153987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7" name="ID_80CF7CFA91FF40569BB46E3FFAA5E1F1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5728970" y="58312050"/>
          <a:ext cx="191452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8" name="ID_5BEBEB5364CB4CF08588FADD066C44CA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5727065" y="60198000"/>
          <a:ext cx="191897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9" name="ID_AF4A5C6F707C4B04A459D28F192869C5"/>
        <xdr:cNvPicPr>
          <a:picLocks noChangeAspect="1"/>
        </xdr:cNvPicPr>
      </xdr:nvPicPr>
      <xdr:blipFill>
        <a:blip r:embed="rId306"/>
        <a:stretch>
          <a:fillRect/>
        </a:stretch>
      </xdr:blipFill>
      <xdr:spPr>
        <a:xfrm>
          <a:off x="6209665" y="62255400"/>
          <a:ext cx="95377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0" name="ID_9FBADDD6E24147498DECA59EA2EDF8A4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5610225" y="64431545"/>
          <a:ext cx="2152650" cy="1619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1" name="ID_B07971CE323C4849901DE77334E57E12"/>
        <xdr:cNvPicPr>
          <a:picLocks noChangeAspect="1"/>
        </xdr:cNvPicPr>
      </xdr:nvPicPr>
      <xdr:blipFill>
        <a:blip r:embed="rId322"/>
        <a:stretch>
          <a:fillRect/>
        </a:stretch>
      </xdr:blipFill>
      <xdr:spPr>
        <a:xfrm>
          <a:off x="5671820" y="66198750"/>
          <a:ext cx="202882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2" name="ID_9861A79ED2F34A9F9E7CEB85B172C28D"/>
        <xdr:cNvPicPr>
          <a:picLocks noChangeAspect="1"/>
        </xdr:cNvPicPr>
      </xdr:nvPicPr>
      <xdr:blipFill>
        <a:blip r:embed="rId224"/>
        <a:stretch>
          <a:fillRect/>
        </a:stretch>
      </xdr:blipFill>
      <xdr:spPr>
        <a:xfrm>
          <a:off x="5561330" y="68256150"/>
          <a:ext cx="2250440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3" name="ID_66A1DBC19F3F440DAEC6F0BE5AE0CF81"/>
        <xdr:cNvPicPr>
          <a:picLocks noChangeAspect="1"/>
        </xdr:cNvPicPr>
      </xdr:nvPicPr>
      <xdr:blipFill>
        <a:blip r:embed="rId276"/>
        <a:stretch>
          <a:fillRect/>
        </a:stretch>
      </xdr:blipFill>
      <xdr:spPr>
        <a:xfrm>
          <a:off x="5500370" y="70313550"/>
          <a:ext cx="237172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5" name="ID_0854EA5627234BD3A34D7E720AB206A9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562600" y="74556620"/>
          <a:ext cx="2247900" cy="177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6" name="ID_EB749560A75E4C948D2854AB3BBD92BA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5471795" y="81495900"/>
          <a:ext cx="2428875" cy="1609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8" name="ID_750B3264D3904C179F340825062532F4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5915660" y="85572600"/>
          <a:ext cx="1541145" cy="1514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9" name="ID_7593480BB7AB499EB18F4E382E026222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5610225" y="87262970"/>
          <a:ext cx="2152650" cy="1733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0" name="ID_4D004291F29945428E67E2FDC57FCB03"/>
        <xdr:cNvPicPr>
          <a:picLocks noChangeAspect="1"/>
        </xdr:cNvPicPr>
      </xdr:nvPicPr>
      <xdr:blipFill>
        <a:blip r:embed="rId319"/>
        <a:stretch>
          <a:fillRect/>
        </a:stretch>
      </xdr:blipFill>
      <xdr:spPr>
        <a:xfrm>
          <a:off x="5957570" y="89173050"/>
          <a:ext cx="145732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1" name="ID_A01838AE032245FA8DEF4B1709E60D18"/>
        <xdr:cNvPicPr>
          <a:picLocks noChangeAspect="1"/>
        </xdr:cNvPicPr>
      </xdr:nvPicPr>
      <xdr:blipFill>
        <a:blip r:embed="rId294"/>
        <a:stretch>
          <a:fillRect/>
        </a:stretch>
      </xdr:blipFill>
      <xdr:spPr>
        <a:xfrm>
          <a:off x="5671185" y="91230450"/>
          <a:ext cx="203073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2" name="ID_B09D96696FC04969A4BF70BEE21F64C5"/>
        <xdr:cNvPicPr>
          <a:picLocks noChangeAspect="1"/>
        </xdr:cNvPicPr>
      </xdr:nvPicPr>
      <xdr:blipFill>
        <a:blip r:embed="rId229"/>
        <a:stretch>
          <a:fillRect/>
        </a:stretch>
      </xdr:blipFill>
      <xdr:spPr>
        <a:xfrm>
          <a:off x="5259070" y="93116400"/>
          <a:ext cx="285496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3" name="ID_42150826A52F4546A966ABBCF4B99743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5443220" y="95345250"/>
          <a:ext cx="2486660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5" name="ID_1BD615425D7848E68188BA5F05F145FE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5457825" y="99559745"/>
          <a:ext cx="2457450" cy="1828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6" name="ID_B36748110F444EA9838BA838D02AEDAE"/>
        <xdr:cNvPicPr>
          <a:picLocks noChangeAspect="1"/>
        </xdr:cNvPicPr>
      </xdr:nvPicPr>
      <xdr:blipFill>
        <a:blip r:embed="rId288"/>
        <a:stretch>
          <a:fillRect/>
        </a:stretch>
      </xdr:blipFill>
      <xdr:spPr>
        <a:xfrm>
          <a:off x="5683885" y="101517450"/>
          <a:ext cx="200469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7" name="ID_AB2C6FC5205F4731AE4833FEA8E62649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5153025" y="104023795"/>
          <a:ext cx="3067050" cy="11309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8" name="ID_42D05C9D8BE5422BBBA3D2A83F8B55A3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5643245" y="105632250"/>
          <a:ext cx="2085975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9" name="ID_60DD0C0BCA7E4796B6862D22CB27F363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5862955" y="107861100"/>
          <a:ext cx="164655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0" name="ID_247F590FECB04A50977062AA592FCE02"/>
        <xdr:cNvPicPr>
          <a:picLocks noChangeAspect="1"/>
        </xdr:cNvPicPr>
      </xdr:nvPicPr>
      <xdr:blipFill>
        <a:blip r:embed="rId249" r:link="rId105"/>
        <a:stretch>
          <a:fillRect/>
        </a:stretch>
      </xdr:blipFill>
      <xdr:spPr>
        <a:xfrm>
          <a:off x="5727700" y="110660180"/>
          <a:ext cx="1917065" cy="191706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41" name="ID_C9608A3D50B141ED9330245040A5D41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5327650" y="113347500"/>
          <a:ext cx="2717165" cy="185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2" name="ID_1EBC753AC5734545855D3296A5212D4F"/>
        <xdr:cNvPicPr>
          <a:picLocks noChangeAspect="1"/>
        </xdr:cNvPicPr>
      </xdr:nvPicPr>
      <xdr:blipFill>
        <a:blip r:embed="rId203" r:link="rId105"/>
        <a:srcRect l="6085" t="4106" r="6235" b="10981"/>
        <a:stretch>
          <a:fillRect/>
        </a:stretch>
      </xdr:blipFill>
      <xdr:spPr>
        <a:xfrm>
          <a:off x="5448935" y="115738910"/>
          <a:ext cx="2475230" cy="170307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43" name="ID_E6B323F2A1734D23B0FC897645DB921E"/>
        <xdr:cNvPicPr>
          <a:picLocks noChangeAspect="1"/>
        </xdr:cNvPicPr>
      </xdr:nvPicPr>
      <xdr:blipFill>
        <a:blip r:embed="rId210"/>
        <a:stretch>
          <a:fillRect/>
        </a:stretch>
      </xdr:blipFill>
      <xdr:spPr>
        <a:xfrm>
          <a:off x="5547995" y="118266845"/>
          <a:ext cx="2276475" cy="1447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4" name="ID_2D2797A10ABC40069F9D1F2DFBEDF6AE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5538470" y="120105170"/>
          <a:ext cx="2295525" cy="171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5" name="ID_2737530E463F484DA814D7752C5ED4C8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5671820" y="122139075"/>
          <a:ext cx="2028825" cy="1247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6" name="ID_9C6BC1540DFC48EB9F62A0CE1B5EA870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5452745" y="123872625"/>
          <a:ext cx="2466975" cy="1552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8" name="ID_F2076C802DB8454C9294C67C3DAF0DBD"/>
        <xdr:cNvPicPr>
          <a:picLocks noChangeAspect="1"/>
        </xdr:cNvPicPr>
      </xdr:nvPicPr>
      <xdr:blipFill>
        <a:blip r:embed="rId245" r:link="rId105"/>
        <a:stretch>
          <a:fillRect/>
        </a:stretch>
      </xdr:blipFill>
      <xdr:spPr>
        <a:xfrm>
          <a:off x="5732780" y="129267585"/>
          <a:ext cx="1906905" cy="190690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49" name="ID_C27B4824CC4E40CFB89460E356F4BB7A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5624195" y="132478145"/>
          <a:ext cx="2124075" cy="148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0" name="ID_FFE8525B010E4BF7AD2E4B30F663356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5414645" y="134483475"/>
          <a:ext cx="2543175" cy="1590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1" name="ID_9475312890684273BB38E4BB9FA0F5CA"/>
        <xdr:cNvPicPr>
          <a:picLocks noChangeAspect="1"/>
        </xdr:cNvPicPr>
      </xdr:nvPicPr>
      <xdr:blipFill>
        <a:blip r:embed="rId299"/>
        <a:stretch>
          <a:fillRect/>
        </a:stretch>
      </xdr:blipFill>
      <xdr:spPr>
        <a:xfrm>
          <a:off x="5654040" y="136321800"/>
          <a:ext cx="2064385" cy="2028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2" name="ID_C2D97FFC98454FCA8DA40DF04AADF74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6145" y="139059920"/>
          <a:ext cx="1400175" cy="1352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4" name="ID_BCDA9BFAD6A44B1B93FDFA321B553EC4"/>
        <xdr:cNvPicPr>
          <a:picLocks noChangeAspect="1"/>
        </xdr:cNvPicPr>
      </xdr:nvPicPr>
      <xdr:blipFill>
        <a:blip r:embed="rId248" r:link="rId105"/>
        <a:stretch>
          <a:fillRect/>
        </a:stretch>
      </xdr:blipFill>
      <xdr:spPr>
        <a:xfrm>
          <a:off x="5731510" y="143979265"/>
          <a:ext cx="1910080" cy="18008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55" name="ID_33BCEC011B334C01817664D467CC01FE"/>
        <xdr:cNvPicPr>
          <a:picLocks noChangeAspect="1"/>
        </xdr:cNvPicPr>
      </xdr:nvPicPr>
      <xdr:blipFill>
        <a:blip r:embed="rId327"/>
        <a:stretch>
          <a:fillRect/>
        </a:stretch>
      </xdr:blipFill>
      <xdr:spPr>
        <a:xfrm>
          <a:off x="5981700" y="694607450"/>
          <a:ext cx="2475865" cy="1553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6" name="ID_5D83163812C340D6A8224AE2AEFF339E"/>
        <xdr:cNvPicPr>
          <a:picLocks noChangeAspect="1"/>
        </xdr:cNvPicPr>
      </xdr:nvPicPr>
      <xdr:blipFill>
        <a:blip r:embed="rId328"/>
        <a:stretch>
          <a:fillRect/>
        </a:stretch>
      </xdr:blipFill>
      <xdr:spPr>
        <a:xfrm>
          <a:off x="7517130" y="1136015"/>
          <a:ext cx="2407920" cy="15417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7" name="ID_B6D7F79D4C1C4C67A6D077D6E1FC6FA2"/>
        <xdr:cNvPicPr>
          <a:picLocks noChangeAspect="1"/>
        </xdr:cNvPicPr>
      </xdr:nvPicPr>
      <xdr:blipFill>
        <a:blip r:embed="rId329"/>
        <a:stretch>
          <a:fillRect/>
        </a:stretch>
      </xdr:blipFill>
      <xdr:spPr>
        <a:xfrm>
          <a:off x="7607935" y="3225800"/>
          <a:ext cx="2223135" cy="1732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8" name="ID_D6E05598162148CB886638B6099D2A26"/>
        <xdr:cNvPicPr>
          <a:picLocks noChangeAspect="1"/>
        </xdr:cNvPicPr>
      </xdr:nvPicPr>
      <xdr:blipFill>
        <a:blip r:embed="rId330" r:link="rId105"/>
        <a:stretch>
          <a:fillRect/>
        </a:stretch>
      </xdr:blipFill>
      <xdr:spPr>
        <a:xfrm>
          <a:off x="7663180" y="18397220"/>
          <a:ext cx="1977390" cy="19970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59" name="ID_28D82D7DE4334B18BBE1836F6C6D9B0D"/>
        <xdr:cNvPicPr>
          <a:picLocks noChangeAspect="1"/>
        </xdr:cNvPicPr>
      </xdr:nvPicPr>
      <xdr:blipFill>
        <a:blip r:embed="rId331"/>
        <a:stretch>
          <a:fillRect/>
        </a:stretch>
      </xdr:blipFill>
      <xdr:spPr>
        <a:xfrm>
          <a:off x="7618730" y="20585430"/>
          <a:ext cx="2113280" cy="1990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0" name="ID_BC37348EA6BB4A7BBC1EC26DDFCE74A0"/>
        <xdr:cNvPicPr>
          <a:picLocks noChangeAspect="1"/>
        </xdr:cNvPicPr>
      </xdr:nvPicPr>
      <xdr:blipFill>
        <a:blip r:embed="rId332" r:link="rId105"/>
        <a:srcRect l="12579" t="3672" r="3616" b="4280"/>
        <a:stretch>
          <a:fillRect/>
        </a:stretch>
      </xdr:blipFill>
      <xdr:spPr>
        <a:xfrm>
          <a:off x="7613015" y="31630620"/>
          <a:ext cx="2206625" cy="17259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61" name="ID_FFC334ACE8904A36BF7070C51D6927F1"/>
        <xdr:cNvPicPr>
          <a:picLocks noChangeAspect="1"/>
        </xdr:cNvPicPr>
      </xdr:nvPicPr>
      <xdr:blipFill>
        <a:blip r:embed="rId333"/>
        <a:stretch>
          <a:fillRect/>
        </a:stretch>
      </xdr:blipFill>
      <xdr:spPr>
        <a:xfrm>
          <a:off x="7865110" y="5378450"/>
          <a:ext cx="1795145" cy="18408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2" name="ID_B91CD64F5D40488180DB01D3919AE36F"/>
        <xdr:cNvPicPr>
          <a:picLocks noChangeAspect="1"/>
        </xdr:cNvPicPr>
      </xdr:nvPicPr>
      <xdr:blipFill>
        <a:blip r:embed="rId334" r:link="rId105"/>
        <a:srcRect t="12234" r="5337" b="13193"/>
        <a:stretch>
          <a:fillRect/>
        </a:stretch>
      </xdr:blipFill>
      <xdr:spPr>
        <a:xfrm>
          <a:off x="7593330" y="16282035"/>
          <a:ext cx="2374265" cy="187071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63" name="ID_2CFE218CAA6D450484BF0365F2B4053B"/>
        <xdr:cNvPicPr>
          <a:picLocks noChangeAspect="1"/>
        </xdr:cNvPicPr>
      </xdr:nvPicPr>
      <xdr:blipFill>
        <a:blip r:embed="rId335" r:link="rId105"/>
        <a:srcRect l="14321" t="23222" r="8003" b="15642"/>
        <a:stretch>
          <a:fillRect/>
        </a:stretch>
      </xdr:blipFill>
      <xdr:spPr>
        <a:xfrm>
          <a:off x="7501255" y="27216735"/>
          <a:ext cx="2303145" cy="18148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64" name="ID_664E76F5E90C41DCA9D37BD265E9CD03"/>
        <xdr:cNvPicPr>
          <a:picLocks noChangeAspect="1"/>
        </xdr:cNvPicPr>
      </xdr:nvPicPr>
      <xdr:blipFill>
        <a:blip r:embed="rId336" r:link="rId105"/>
        <a:srcRect l="-2054" t="9756" r="139" b="11514"/>
        <a:stretch>
          <a:fillRect/>
        </a:stretch>
      </xdr:blipFill>
      <xdr:spPr>
        <a:xfrm>
          <a:off x="7814945" y="29345255"/>
          <a:ext cx="1633855" cy="189293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65" name="ID_449FE1535A024103A8D574260EB1E32F"/>
        <xdr:cNvPicPr>
          <a:picLocks noChangeAspect="1"/>
        </xdr:cNvPicPr>
      </xdr:nvPicPr>
      <xdr:blipFill>
        <a:blip r:embed="rId337"/>
        <a:stretch>
          <a:fillRect/>
        </a:stretch>
      </xdr:blipFill>
      <xdr:spPr>
        <a:xfrm>
          <a:off x="7517130" y="12118340"/>
          <a:ext cx="2365375" cy="14408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6" name="ID_334CA0EB80F6488CA936037DC1487A78"/>
        <xdr:cNvPicPr>
          <a:picLocks noChangeAspect="1"/>
        </xdr:cNvPicPr>
      </xdr:nvPicPr>
      <xdr:blipFill>
        <a:blip r:embed="rId338"/>
        <a:stretch>
          <a:fillRect/>
        </a:stretch>
      </xdr:blipFill>
      <xdr:spPr>
        <a:xfrm>
          <a:off x="7617460" y="14333855"/>
          <a:ext cx="2347595" cy="1265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7" name="ID_A4AF4368192C4393B5E53CCC2E560675"/>
        <xdr:cNvPicPr>
          <a:picLocks noChangeAspect="1"/>
        </xdr:cNvPicPr>
      </xdr:nvPicPr>
      <xdr:blipFill>
        <a:blip r:embed="rId339"/>
        <a:stretch>
          <a:fillRect/>
        </a:stretch>
      </xdr:blipFill>
      <xdr:spPr>
        <a:xfrm>
          <a:off x="7696200" y="9845040"/>
          <a:ext cx="2042160" cy="177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8" name="ID_BBDB10B0BB1D4F5789A51A245827DBBC"/>
        <xdr:cNvPicPr>
          <a:picLocks noChangeAspect="1"/>
        </xdr:cNvPicPr>
      </xdr:nvPicPr>
      <xdr:blipFill>
        <a:blip r:embed="rId340"/>
        <a:stretch>
          <a:fillRect/>
        </a:stretch>
      </xdr:blipFill>
      <xdr:spPr>
        <a:xfrm>
          <a:off x="7932420" y="25084405"/>
          <a:ext cx="1599565" cy="1826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9" name="ID_C71F68FD8522421F9DBE02251D28E4EC"/>
        <xdr:cNvPicPr>
          <a:picLocks noChangeAspect="1"/>
        </xdr:cNvPicPr>
      </xdr:nvPicPr>
      <xdr:blipFill>
        <a:blip r:embed="rId341"/>
        <a:stretch>
          <a:fillRect/>
        </a:stretch>
      </xdr:blipFill>
      <xdr:spPr>
        <a:xfrm>
          <a:off x="7630795" y="23083520"/>
          <a:ext cx="2265680" cy="1379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6" name="ID_08C3CFBA41FA498F8FB03F3832092395"/>
        <xdr:cNvPicPr>
          <a:picLocks noChangeAspect="1"/>
        </xdr:cNvPicPr>
      </xdr:nvPicPr>
      <xdr:blipFill>
        <a:blip r:embed="rId342"/>
        <a:stretch>
          <a:fillRect/>
        </a:stretch>
      </xdr:blipFill>
      <xdr:spPr>
        <a:xfrm>
          <a:off x="5562600" y="265963400"/>
          <a:ext cx="236220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0" name="ID_5D29934DF0884EA69C9E101E2F920E55"/>
        <xdr:cNvPicPr>
          <a:picLocks noChangeAspect="1"/>
        </xdr:cNvPicPr>
      </xdr:nvPicPr>
      <xdr:blipFill>
        <a:blip r:embed="rId343"/>
        <a:stretch>
          <a:fillRect/>
        </a:stretch>
      </xdr:blipFill>
      <xdr:spPr>
        <a:xfrm>
          <a:off x="5562600" y="269773400"/>
          <a:ext cx="2295525" cy="1200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2" name="ID_87A95EB0CC2143BA908778DD29139DBF"/>
        <xdr:cNvPicPr>
          <a:picLocks noChangeAspect="1"/>
        </xdr:cNvPicPr>
      </xdr:nvPicPr>
      <xdr:blipFill>
        <a:blip r:embed="rId344"/>
        <a:stretch>
          <a:fillRect/>
        </a:stretch>
      </xdr:blipFill>
      <xdr:spPr>
        <a:xfrm>
          <a:off x="5924550" y="121332625"/>
          <a:ext cx="1652270" cy="100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3" name="ID_E0E6BDA6C3B44078B0B12291F7A2DFD6"/>
        <xdr:cNvPicPr>
          <a:picLocks noChangeAspect="1"/>
        </xdr:cNvPicPr>
      </xdr:nvPicPr>
      <xdr:blipFill>
        <a:blip r:embed="rId345"/>
        <a:stretch>
          <a:fillRect/>
        </a:stretch>
      </xdr:blipFill>
      <xdr:spPr>
        <a:xfrm>
          <a:off x="5562600" y="123723400"/>
          <a:ext cx="2381250" cy="2162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4" name="ID_E18E72C21E4D4032A59F6FA342DB924E"/>
        <xdr:cNvPicPr>
          <a:picLocks noChangeAspect="1"/>
        </xdr:cNvPicPr>
      </xdr:nvPicPr>
      <xdr:blipFill>
        <a:blip r:embed="rId346"/>
        <a:stretch>
          <a:fillRect/>
        </a:stretch>
      </xdr:blipFill>
      <xdr:spPr>
        <a:xfrm>
          <a:off x="5562600" y="130073400"/>
          <a:ext cx="3495675" cy="2847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5" name="ID_AF3F58A0688E412297BA13CEF5384890"/>
        <xdr:cNvPicPr>
          <a:picLocks noChangeAspect="1"/>
        </xdr:cNvPicPr>
      </xdr:nvPicPr>
      <xdr:blipFill>
        <a:blip r:embed="rId347"/>
        <a:stretch>
          <a:fillRect/>
        </a:stretch>
      </xdr:blipFill>
      <xdr:spPr>
        <a:xfrm>
          <a:off x="5562600" y="142773400"/>
          <a:ext cx="2305050" cy="1381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6" name="ID_0CB7A8FA602842D7A35DEC233F6FFCF6"/>
        <xdr:cNvPicPr>
          <a:picLocks noChangeAspect="1"/>
        </xdr:cNvPicPr>
      </xdr:nvPicPr>
      <xdr:blipFill>
        <a:blip r:embed="rId348"/>
        <a:stretch>
          <a:fillRect/>
        </a:stretch>
      </xdr:blipFill>
      <xdr:spPr>
        <a:xfrm>
          <a:off x="5562600" y="69113400"/>
          <a:ext cx="2381250" cy="1590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7" name="ID_48255588F6514C5DB445B6591EDE803B"/>
        <xdr:cNvPicPr>
          <a:picLocks noChangeAspect="1"/>
        </xdr:cNvPicPr>
      </xdr:nvPicPr>
      <xdr:blipFill>
        <a:blip r:embed="rId349"/>
        <a:stretch>
          <a:fillRect/>
        </a:stretch>
      </xdr:blipFill>
      <xdr:spPr>
        <a:xfrm>
          <a:off x="5895975" y="338255610"/>
          <a:ext cx="1657350" cy="1275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8" name="ID_14AC1ACD916A4D979D1247F0F01C69D3"/>
        <xdr:cNvPicPr>
          <a:picLocks noChangeAspect="1"/>
        </xdr:cNvPicPr>
      </xdr:nvPicPr>
      <xdr:blipFill>
        <a:blip r:embed="rId350"/>
        <a:stretch>
          <a:fillRect/>
        </a:stretch>
      </xdr:blipFill>
      <xdr:spPr>
        <a:xfrm>
          <a:off x="5562600" y="171983400"/>
          <a:ext cx="2276475" cy="2066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9" name="ID_86E95171B6DB4C589A300FF2A27D4EE4"/>
        <xdr:cNvPicPr>
          <a:picLocks noChangeAspect="1"/>
        </xdr:cNvPicPr>
      </xdr:nvPicPr>
      <xdr:blipFill>
        <a:blip r:embed="rId351"/>
        <a:stretch>
          <a:fillRect/>
        </a:stretch>
      </xdr:blipFill>
      <xdr:spPr>
        <a:xfrm>
          <a:off x="5562600" y="191033400"/>
          <a:ext cx="2295525" cy="1828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0" name="ID_C992643B6EDC45BDB0D89028E9E9A292"/>
        <xdr:cNvPicPr>
          <a:picLocks noChangeAspect="1"/>
        </xdr:cNvPicPr>
      </xdr:nvPicPr>
      <xdr:blipFill>
        <a:blip r:embed="rId352"/>
        <a:stretch>
          <a:fillRect/>
        </a:stretch>
      </xdr:blipFill>
      <xdr:spPr>
        <a:xfrm>
          <a:off x="5829300" y="476824675"/>
          <a:ext cx="1791335" cy="1318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1" name="ID_0461BB7A84494B0A8C7D162E18731FDA"/>
        <xdr:cNvPicPr>
          <a:picLocks noChangeAspect="1"/>
        </xdr:cNvPicPr>
      </xdr:nvPicPr>
      <xdr:blipFill>
        <a:blip r:embed="rId353"/>
        <a:stretch>
          <a:fillRect/>
        </a:stretch>
      </xdr:blipFill>
      <xdr:spPr>
        <a:xfrm>
          <a:off x="5876925" y="490540675"/>
          <a:ext cx="1725930" cy="106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2" name="ID_6E1FEF3F5FA147DBA0E1503BBEF847A8"/>
        <xdr:cNvPicPr>
          <a:picLocks noChangeAspect="1"/>
        </xdr:cNvPicPr>
      </xdr:nvPicPr>
      <xdr:blipFill>
        <a:blip r:embed="rId354"/>
        <a:stretch>
          <a:fillRect/>
        </a:stretch>
      </xdr:blipFill>
      <xdr:spPr>
        <a:xfrm>
          <a:off x="5840095" y="600968445"/>
          <a:ext cx="1771015" cy="10902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3" name="ID_4F178E1B685748DFBB6BC23B0D8A79CD"/>
        <xdr:cNvPicPr>
          <a:picLocks noChangeAspect="1"/>
        </xdr:cNvPicPr>
      </xdr:nvPicPr>
      <xdr:blipFill>
        <a:blip r:embed="rId355"/>
        <a:stretch>
          <a:fillRect/>
        </a:stretch>
      </xdr:blipFill>
      <xdr:spPr>
        <a:xfrm>
          <a:off x="6102350" y="581021825"/>
          <a:ext cx="3486150" cy="3467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13609F9C828548C884DD956CE89525AE"/>
        <xdr:cNvPicPr>
          <a:picLocks noChangeAspect="1"/>
        </xdr:cNvPicPr>
      </xdr:nvPicPr>
      <xdr:blipFill>
        <a:blip r:embed="rId356"/>
        <a:stretch>
          <a:fillRect/>
        </a:stretch>
      </xdr:blipFill>
      <xdr:spPr>
        <a:xfrm>
          <a:off x="6677025" y="686355625"/>
          <a:ext cx="2324100" cy="1752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1" name="ID_1AA57BC394E84254BFABAFC8E8E9DE9E"/>
        <xdr:cNvPicPr>
          <a:picLocks noChangeAspect="1"/>
        </xdr:cNvPicPr>
      </xdr:nvPicPr>
      <xdr:blipFill>
        <a:blip r:embed="rId357"/>
        <a:stretch>
          <a:fillRect/>
        </a:stretch>
      </xdr:blipFill>
      <xdr:spPr>
        <a:xfrm>
          <a:off x="6677025" y="687730400"/>
          <a:ext cx="2457450" cy="177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2" name="ID_7F8BCBDCB6FD43FF8DD160BDD2B976E4"/>
        <xdr:cNvPicPr>
          <a:picLocks noChangeAspect="1"/>
        </xdr:cNvPicPr>
      </xdr:nvPicPr>
      <xdr:blipFill>
        <a:blip r:embed="rId358"/>
        <a:stretch>
          <a:fillRect/>
        </a:stretch>
      </xdr:blipFill>
      <xdr:spPr>
        <a:xfrm>
          <a:off x="6677025" y="689042945"/>
          <a:ext cx="2400300" cy="2143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7" name="ID_34A0F819B93C4338BB308FB249705D03"/>
        <xdr:cNvPicPr>
          <a:picLocks noChangeAspect="1"/>
        </xdr:cNvPicPr>
      </xdr:nvPicPr>
      <xdr:blipFill>
        <a:blip r:embed="rId359"/>
        <a:stretch>
          <a:fillRect/>
        </a:stretch>
      </xdr:blipFill>
      <xdr:spPr>
        <a:xfrm>
          <a:off x="6677025" y="551761660"/>
          <a:ext cx="2200275" cy="1447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6" name="ID_D6E7B4EB743C489DA4DFB8432AA97014"/>
        <xdr:cNvPicPr>
          <a:picLocks noChangeAspect="1"/>
        </xdr:cNvPicPr>
      </xdr:nvPicPr>
      <xdr:blipFill>
        <a:blip r:embed="rId360"/>
        <a:stretch>
          <a:fillRect/>
        </a:stretch>
      </xdr:blipFill>
      <xdr:spPr>
        <a:xfrm>
          <a:off x="6677025" y="688597810"/>
          <a:ext cx="2333625" cy="2162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8" name="ID_E952E63570B347D9BE96363ADDBA35B1"/>
        <xdr:cNvPicPr>
          <a:picLocks noChangeAspect="1"/>
        </xdr:cNvPicPr>
      </xdr:nvPicPr>
      <xdr:blipFill>
        <a:blip r:embed="rId361"/>
        <a:stretch>
          <a:fillRect/>
        </a:stretch>
      </xdr:blipFill>
      <xdr:spPr>
        <a:xfrm>
          <a:off x="6677025" y="690276115"/>
          <a:ext cx="2238375" cy="2066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1" name="ID_A9E2F81505184CE6A3004BA1D5182B74"/>
        <xdr:cNvPicPr>
          <a:picLocks noChangeAspect="1"/>
        </xdr:cNvPicPr>
      </xdr:nvPicPr>
      <xdr:blipFill>
        <a:blip r:embed="rId362"/>
        <a:stretch>
          <a:fillRect/>
        </a:stretch>
      </xdr:blipFill>
      <xdr:spPr>
        <a:xfrm>
          <a:off x="6677025" y="691949340"/>
          <a:ext cx="2324100" cy="1733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9" name="ID_6E64B70CA5AA4B239E907D0A99BCA662"/>
        <xdr:cNvPicPr>
          <a:picLocks noChangeAspect="1"/>
        </xdr:cNvPicPr>
      </xdr:nvPicPr>
      <xdr:blipFill>
        <a:blip r:embed="rId363"/>
        <a:stretch>
          <a:fillRect/>
        </a:stretch>
      </xdr:blipFill>
      <xdr:spPr>
        <a:xfrm>
          <a:off x="6677025" y="693306335"/>
          <a:ext cx="2324100" cy="1971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7" name="ID_DF25E430D27346BBAF3AA2E699B9393C"/>
        <xdr:cNvPicPr>
          <a:picLocks noChangeAspect="1"/>
        </xdr:cNvPicPr>
      </xdr:nvPicPr>
      <xdr:blipFill>
        <a:blip r:embed="rId364"/>
        <a:stretch>
          <a:fillRect/>
        </a:stretch>
      </xdr:blipFill>
      <xdr:spPr>
        <a:xfrm>
          <a:off x="6677025" y="694845575"/>
          <a:ext cx="2352675" cy="207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4" name="ID_E025163EF5A44667B533B636B19110A5"/>
        <xdr:cNvPicPr>
          <a:picLocks noChangeAspect="1"/>
        </xdr:cNvPicPr>
      </xdr:nvPicPr>
      <xdr:blipFill>
        <a:blip r:embed="rId365"/>
        <a:stretch>
          <a:fillRect/>
        </a:stretch>
      </xdr:blipFill>
      <xdr:spPr>
        <a:xfrm>
          <a:off x="6677025" y="697893575"/>
          <a:ext cx="2000250" cy="168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8" name="ID_3CF710927ABC49F0BEC35E2D8E8678DA"/>
        <xdr:cNvPicPr>
          <a:picLocks noChangeAspect="1"/>
        </xdr:cNvPicPr>
      </xdr:nvPicPr>
      <xdr:blipFill>
        <a:blip r:embed="rId366"/>
        <a:stretch>
          <a:fillRect/>
        </a:stretch>
      </xdr:blipFill>
      <xdr:spPr>
        <a:xfrm>
          <a:off x="6677025" y="699423290"/>
          <a:ext cx="241935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0" name="ID_AB3D88B098F84FDBB878F61231D71E01"/>
        <xdr:cNvPicPr>
          <a:picLocks noChangeAspect="1"/>
        </xdr:cNvPicPr>
      </xdr:nvPicPr>
      <xdr:blipFill>
        <a:blip r:embed="rId367"/>
        <a:stretch>
          <a:fillRect/>
        </a:stretch>
      </xdr:blipFill>
      <xdr:spPr>
        <a:xfrm>
          <a:off x="6677025" y="700805050"/>
          <a:ext cx="2286000" cy="1895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5" name="ID_69BE7E955140401C96EA1257A8129885"/>
        <xdr:cNvPicPr>
          <a:picLocks noChangeAspect="1"/>
        </xdr:cNvPicPr>
      </xdr:nvPicPr>
      <xdr:blipFill>
        <a:blip r:embed="rId368"/>
        <a:stretch>
          <a:fillRect/>
        </a:stretch>
      </xdr:blipFill>
      <xdr:spPr>
        <a:xfrm>
          <a:off x="6677025" y="702310000"/>
          <a:ext cx="2343150" cy="1628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4" name="ID_AB13DEF2BBBB44668975E9A382355869"/>
        <xdr:cNvPicPr>
          <a:picLocks noChangeAspect="1"/>
        </xdr:cNvPicPr>
      </xdr:nvPicPr>
      <xdr:blipFill>
        <a:blip r:embed="rId369"/>
        <a:stretch>
          <a:fillRect/>
        </a:stretch>
      </xdr:blipFill>
      <xdr:spPr>
        <a:xfrm>
          <a:off x="6677025" y="703576190"/>
          <a:ext cx="2419350" cy="2105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0" name="ID_8CAC86F8CE5241F5A0CBAF3348E8C801"/>
        <xdr:cNvPicPr>
          <a:picLocks noChangeAspect="1"/>
        </xdr:cNvPicPr>
      </xdr:nvPicPr>
      <xdr:blipFill>
        <a:blip r:embed="rId370"/>
        <a:stretch>
          <a:fillRect/>
        </a:stretch>
      </xdr:blipFill>
      <xdr:spPr>
        <a:xfrm>
          <a:off x="6677025" y="705154165"/>
          <a:ext cx="2400300" cy="1343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1" name="ID_2501F428DAB84B0FBD743363ED34878C"/>
        <xdr:cNvPicPr>
          <a:picLocks noChangeAspect="1"/>
        </xdr:cNvPicPr>
      </xdr:nvPicPr>
      <xdr:blipFill>
        <a:blip r:embed="rId371"/>
        <a:stretch>
          <a:fillRect/>
        </a:stretch>
      </xdr:blipFill>
      <xdr:spPr>
        <a:xfrm>
          <a:off x="6677025" y="706179055"/>
          <a:ext cx="2400300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5" name="ID_DF73C0A1808F4C59BECA3DCE8FD90ACE"/>
        <xdr:cNvPicPr>
          <a:picLocks noChangeAspect="1"/>
        </xdr:cNvPicPr>
      </xdr:nvPicPr>
      <xdr:blipFill>
        <a:blip r:embed="rId372"/>
        <a:stretch>
          <a:fillRect/>
        </a:stretch>
      </xdr:blipFill>
      <xdr:spPr>
        <a:xfrm>
          <a:off x="6677025" y="707274430"/>
          <a:ext cx="2371725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3" name="ID_6B252818AC7946078F448D4D30A49C05"/>
        <xdr:cNvPicPr>
          <a:picLocks noChangeAspect="1"/>
        </xdr:cNvPicPr>
      </xdr:nvPicPr>
      <xdr:blipFill>
        <a:blip r:embed="rId373"/>
        <a:stretch>
          <a:fillRect/>
        </a:stretch>
      </xdr:blipFill>
      <xdr:spPr>
        <a:xfrm>
          <a:off x="6677025" y="708189465"/>
          <a:ext cx="2419350" cy="2124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7" name="ID_BD9D7B962FFD479AAE34C547182FC13C"/>
        <xdr:cNvPicPr>
          <a:picLocks noChangeAspect="1"/>
        </xdr:cNvPicPr>
      </xdr:nvPicPr>
      <xdr:blipFill>
        <a:blip r:embed="rId374"/>
        <a:stretch>
          <a:fillRect/>
        </a:stretch>
      </xdr:blipFill>
      <xdr:spPr>
        <a:xfrm>
          <a:off x="6677025" y="699423290"/>
          <a:ext cx="2409825" cy="1847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0" name="ID_581AF854BC4D4FD9A303E72E8B0ADD05"/>
        <xdr:cNvPicPr>
          <a:picLocks noChangeAspect="1"/>
        </xdr:cNvPicPr>
      </xdr:nvPicPr>
      <xdr:blipFill>
        <a:blip r:embed="rId375"/>
        <a:stretch>
          <a:fillRect/>
        </a:stretch>
      </xdr:blipFill>
      <xdr:spPr>
        <a:xfrm>
          <a:off x="6677025" y="711175235"/>
          <a:ext cx="2400300" cy="1762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5" name="ID_9E2828C9FC9B4DA49A6396761CD3FD5D"/>
        <xdr:cNvPicPr>
          <a:picLocks noChangeAspect="1"/>
        </xdr:cNvPicPr>
      </xdr:nvPicPr>
      <xdr:blipFill>
        <a:blip r:embed="rId376"/>
        <a:stretch>
          <a:fillRect/>
        </a:stretch>
      </xdr:blipFill>
      <xdr:spPr>
        <a:xfrm>
          <a:off x="6677025" y="712511275"/>
          <a:ext cx="2314575" cy="1524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7" name="ID_034D4801A63E4757BD8A3BDF8986B58B"/>
        <xdr:cNvPicPr>
          <a:picLocks noChangeAspect="1"/>
        </xdr:cNvPicPr>
      </xdr:nvPicPr>
      <xdr:blipFill>
        <a:blip r:embed="rId377"/>
        <a:stretch>
          <a:fillRect/>
        </a:stretch>
      </xdr:blipFill>
      <xdr:spPr>
        <a:xfrm>
          <a:off x="6677025" y="691949340"/>
          <a:ext cx="2038350" cy="125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0" name="ID_E2F42A20E3C14C2B9E399E7BC5105CBC"/>
        <xdr:cNvPicPr>
          <a:picLocks noChangeAspect="1"/>
        </xdr:cNvPicPr>
      </xdr:nvPicPr>
      <xdr:blipFill>
        <a:blip r:embed="rId378"/>
        <a:stretch>
          <a:fillRect/>
        </a:stretch>
      </xdr:blipFill>
      <xdr:spPr>
        <a:xfrm>
          <a:off x="7252335" y="715819625"/>
          <a:ext cx="5143500" cy="5210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1" name="ID_9232C50C5F514A50866FC3C0E552E177"/>
        <xdr:cNvPicPr>
          <a:picLocks noChangeAspect="1"/>
        </xdr:cNvPicPr>
      </xdr:nvPicPr>
      <xdr:blipFill>
        <a:blip r:embed="rId379"/>
        <a:stretch>
          <a:fillRect/>
        </a:stretch>
      </xdr:blipFill>
      <xdr:spPr>
        <a:xfrm>
          <a:off x="7008495" y="716317465"/>
          <a:ext cx="6581775" cy="5181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6" name="ID_9CE2615B341D4D24984F88075C40BC8B"/>
        <xdr:cNvPicPr>
          <a:picLocks noChangeAspect="1"/>
        </xdr:cNvPicPr>
      </xdr:nvPicPr>
      <xdr:blipFill>
        <a:blip r:embed="rId380"/>
        <a:stretch>
          <a:fillRect/>
        </a:stretch>
      </xdr:blipFill>
      <xdr:spPr>
        <a:xfrm>
          <a:off x="7018020" y="716984215"/>
          <a:ext cx="3638550" cy="3390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6" name="ID_B40641AE0D8148F1A042044ED2C8E295"/>
        <xdr:cNvPicPr>
          <a:picLocks noChangeAspect="1"/>
        </xdr:cNvPicPr>
      </xdr:nvPicPr>
      <xdr:blipFill>
        <a:blip r:embed="rId381"/>
        <a:stretch>
          <a:fillRect/>
        </a:stretch>
      </xdr:blipFill>
      <xdr:spPr>
        <a:xfrm>
          <a:off x="6913245" y="717358865"/>
          <a:ext cx="4352925" cy="390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8" name="ID_3EE9197A87C0408E9161705D7B5FBB43"/>
        <xdr:cNvPicPr>
          <a:picLocks noChangeAspect="1"/>
        </xdr:cNvPicPr>
      </xdr:nvPicPr>
      <xdr:blipFill>
        <a:blip r:embed="rId382"/>
        <a:stretch>
          <a:fillRect/>
        </a:stretch>
      </xdr:blipFill>
      <xdr:spPr>
        <a:xfrm>
          <a:off x="7056120" y="718790790"/>
          <a:ext cx="2609850" cy="2505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527" name="ID_610AB46293A745CBA6FA6F4ED5532885" descr="12-素烧鹅110g.png"/>
        <xdr:cNvPicPr>
          <a:picLocks noChangeAspect="1"/>
        </xdr:cNvPicPr>
      </xdr:nvPicPr>
      <xdr:blipFill>
        <a:blip r:embed="rId383"/>
        <a:stretch>
          <a:fillRect/>
        </a:stretch>
      </xdr:blipFill>
      <xdr:spPr>
        <a:xfrm>
          <a:off x="8502015" y="167051355"/>
          <a:ext cx="236855" cy="647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66" name="ID_767498BDE2C94AEAA41D3C5B425C4FAD" descr="祖名豆腐干丝1000g.jpg"/>
        <xdr:cNvPicPr>
          <a:picLocks noChangeAspect="1"/>
        </xdr:cNvPicPr>
      </xdr:nvPicPr>
      <xdr:blipFill>
        <a:blip r:embed="rId384"/>
        <a:srcRect t="8707"/>
        <a:stretch>
          <a:fillRect/>
        </a:stretch>
      </xdr:blipFill>
      <xdr:spPr>
        <a:xfrm>
          <a:off x="8300720" y="96623505"/>
          <a:ext cx="590550" cy="7251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53" name="ID_6FB6228551CD4484861657176FCC865C" descr="大油方.jpg"/>
        <xdr:cNvPicPr>
          <a:picLocks noChangeAspect="1"/>
        </xdr:cNvPicPr>
      </xdr:nvPicPr>
      <xdr:blipFill>
        <a:blip r:embed="rId385"/>
        <a:stretch>
          <a:fillRect/>
        </a:stretch>
      </xdr:blipFill>
      <xdr:spPr>
        <a:xfrm>
          <a:off x="8359140" y="58711465"/>
          <a:ext cx="608965" cy="7251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4" name="ID_12F0C3297EC948DA82D223E80F7ACC43"/>
        <xdr:cNvPicPr>
          <a:picLocks noChangeAspect="1"/>
        </xdr:cNvPicPr>
      </xdr:nvPicPr>
      <xdr:blipFill>
        <a:blip r:embed="rId386"/>
        <a:stretch>
          <a:fillRect/>
        </a:stretch>
      </xdr:blipFill>
      <xdr:spPr>
        <a:xfrm>
          <a:off x="5391150" y="16714470"/>
          <a:ext cx="1600835" cy="899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88" name="ID_5743B55EA63C46A79BE4798987953B0E" descr="薄千张2千克.jpg"/>
        <xdr:cNvPicPr>
          <a:picLocks noChangeAspect="1"/>
        </xdr:cNvPicPr>
      </xdr:nvPicPr>
      <xdr:blipFill>
        <a:blip r:embed="rId387"/>
        <a:stretch>
          <a:fillRect/>
        </a:stretch>
      </xdr:blipFill>
      <xdr:spPr>
        <a:xfrm>
          <a:off x="8319770" y="35490150"/>
          <a:ext cx="629285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34" name="ID_39DDC29536DB47B1BF4D306A29C16589" descr="创新一号.jpg"/>
        <xdr:cNvPicPr>
          <a:picLocks noChangeAspect="1"/>
        </xdr:cNvPicPr>
      </xdr:nvPicPr>
      <xdr:blipFill>
        <a:blip r:embed="rId388"/>
        <a:srcRect t="7320" b="9750"/>
        <a:stretch>
          <a:fillRect/>
        </a:stretch>
      </xdr:blipFill>
      <xdr:spPr>
        <a:xfrm>
          <a:off x="8129270" y="20325715"/>
          <a:ext cx="981710" cy="675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43" name="ID_428D98764E9B493BAF78894DA18420A2" descr="臭豆腐220g.jpg"/>
        <xdr:cNvPicPr>
          <a:picLocks noChangeAspect="1"/>
        </xdr:cNvPicPr>
      </xdr:nvPicPr>
      <xdr:blipFill>
        <a:blip r:embed="rId389"/>
        <a:stretch>
          <a:fillRect/>
        </a:stretch>
      </xdr:blipFill>
      <xdr:spPr>
        <a:xfrm>
          <a:off x="8069580" y="65965705"/>
          <a:ext cx="1049020" cy="684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44" name="ID_F29ADD961CA941F79613E22950A71A39" descr="臭豆腐2kg.jpg"/>
        <xdr:cNvPicPr>
          <a:picLocks noChangeAspect="1"/>
        </xdr:cNvPicPr>
      </xdr:nvPicPr>
      <xdr:blipFill>
        <a:blip r:embed="rId390"/>
        <a:stretch>
          <a:fillRect/>
        </a:stretch>
      </xdr:blipFill>
      <xdr:spPr>
        <a:xfrm>
          <a:off x="8179435" y="66818510"/>
          <a:ext cx="951230" cy="578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52" name="ID_585DF89E8DA9479DA3095BA8CBB32F09" descr="大油片1千克.jpg"/>
        <xdr:cNvPicPr>
          <a:picLocks noChangeAspect="1"/>
        </xdr:cNvPicPr>
      </xdr:nvPicPr>
      <xdr:blipFill>
        <a:blip r:embed="rId391"/>
        <a:stretch>
          <a:fillRect/>
        </a:stretch>
      </xdr:blipFill>
      <xdr:spPr>
        <a:xfrm>
          <a:off x="8329930" y="60339605"/>
          <a:ext cx="589280" cy="7156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513" name="ID_F192EA2F946A47529F10E74876C59315" descr="11-豆腐皮 500k.jpg"/>
        <xdr:cNvPicPr>
          <a:picLocks noChangeAspect="1"/>
        </xdr:cNvPicPr>
      </xdr:nvPicPr>
      <xdr:blipFill>
        <a:blip r:embed="rId392"/>
        <a:stretch>
          <a:fillRect/>
        </a:stretch>
      </xdr:blipFill>
      <xdr:spPr>
        <a:xfrm>
          <a:off x="8348980" y="70759955"/>
          <a:ext cx="542290" cy="647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553" name="ID_AE16426B66AF4D1D993B3032D0289363" descr="豆奶饮品.JPG"/>
        <xdr:cNvPicPr>
          <a:picLocks noChangeAspect="1"/>
        </xdr:cNvPicPr>
      </xdr:nvPicPr>
      <xdr:blipFill>
        <a:blip r:embed="rId393"/>
        <a:srcRect t="12318" r="13890" b="10696"/>
        <a:stretch>
          <a:fillRect/>
        </a:stretch>
      </xdr:blipFill>
      <xdr:spPr>
        <a:xfrm>
          <a:off x="8262620" y="176674145"/>
          <a:ext cx="476250" cy="6565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59" name="ID_DE34CA74331B4A81951C59BE84367BD4" descr="红味干.jpg"/>
        <xdr:cNvPicPr>
          <a:picLocks noChangeAspect="1"/>
        </xdr:cNvPicPr>
      </xdr:nvPicPr>
      <xdr:blipFill>
        <a:blip r:embed="rId394"/>
        <a:stretch>
          <a:fillRect/>
        </a:stretch>
      </xdr:blipFill>
      <xdr:spPr>
        <a:xfrm>
          <a:off x="8253095" y="91092020"/>
          <a:ext cx="723900" cy="655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95" name="ID_1E84A1CE68A14309848E58DF39A2CDF0" descr="千张A 3千克.jpg"/>
        <xdr:cNvPicPr>
          <a:picLocks noChangeAspect="1"/>
        </xdr:cNvPicPr>
      </xdr:nvPicPr>
      <xdr:blipFill>
        <a:blip r:embed="rId395"/>
        <a:stretch>
          <a:fillRect/>
        </a:stretch>
      </xdr:blipFill>
      <xdr:spPr>
        <a:xfrm>
          <a:off x="8319770" y="29126815"/>
          <a:ext cx="686435" cy="706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9616" name="ID_E6EE5B3EF80949DA87856ADD9D7164AE" descr="3-鸡蛋干图.jpg"/>
        <xdr:cNvPicPr>
          <a:picLocks noChangeAspect="1"/>
        </xdr:cNvPicPr>
      </xdr:nvPicPr>
      <xdr:blipFill>
        <a:blip r:embed="rId396"/>
        <a:stretch>
          <a:fillRect/>
        </a:stretch>
      </xdr:blipFill>
      <xdr:spPr>
        <a:xfrm>
          <a:off x="8376285" y="196687440"/>
          <a:ext cx="581025" cy="762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38" name="ID_728A6259969C4961BE0F74E42B307D75" descr="平板老豆腐.jpg"/>
        <xdr:cNvPicPr>
          <a:picLocks noChangeAspect="1"/>
        </xdr:cNvPicPr>
      </xdr:nvPicPr>
      <xdr:blipFill>
        <a:blip r:embed="rId397"/>
        <a:stretch>
          <a:fillRect/>
        </a:stretch>
      </xdr:blipFill>
      <xdr:spPr>
        <a:xfrm>
          <a:off x="8214995" y="22775545"/>
          <a:ext cx="809625" cy="675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42" name="ID_BAAB9E3FDDAD4C4691CD35D7818132EB" descr="木涟冰爽.jpg"/>
        <xdr:cNvPicPr>
          <a:picLocks noChangeAspect="1"/>
        </xdr:cNvPicPr>
      </xdr:nvPicPr>
      <xdr:blipFill>
        <a:blip r:embed="rId398"/>
        <a:srcRect r="11604" b="6888"/>
        <a:stretch>
          <a:fillRect/>
        </a:stretch>
      </xdr:blipFill>
      <xdr:spPr>
        <a:xfrm>
          <a:off x="8062595" y="28307665"/>
          <a:ext cx="1037590" cy="7251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91" name="ID_425A90966AC64FF39D5C136A88D8C7E7" descr="千张结1kg.jpg"/>
        <xdr:cNvPicPr>
          <a:picLocks noChangeAspect="1"/>
        </xdr:cNvPicPr>
      </xdr:nvPicPr>
      <xdr:blipFill>
        <a:blip r:embed="rId399"/>
        <a:srcRect b="14908"/>
        <a:stretch>
          <a:fillRect/>
        </a:stretch>
      </xdr:blipFill>
      <xdr:spPr>
        <a:xfrm>
          <a:off x="8300720" y="37127815"/>
          <a:ext cx="685800" cy="675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538" name="ID_EBA3DD9325E94D9E9146DC8FA93E6A77" descr="8-油面筋5公斤小.jpg"/>
        <xdr:cNvPicPr>
          <a:picLocks noChangeAspect="1"/>
        </xdr:cNvPicPr>
      </xdr:nvPicPr>
      <xdr:blipFill>
        <a:blip r:embed="rId400"/>
        <a:srcRect t="8026" b="10822"/>
        <a:stretch>
          <a:fillRect/>
        </a:stretch>
      </xdr:blipFill>
      <xdr:spPr>
        <a:xfrm>
          <a:off x="8187055" y="127067945"/>
          <a:ext cx="885190" cy="628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4" name="ID_80BD987F5978476DBC1AFC2DC565473D"/>
        <xdr:cNvPicPr>
          <a:picLocks noChangeAspect="1"/>
        </xdr:cNvPicPr>
      </xdr:nvPicPr>
      <xdr:blipFill>
        <a:blip r:embed="rId401"/>
        <a:stretch>
          <a:fillRect/>
        </a:stretch>
      </xdr:blipFill>
      <xdr:spPr>
        <a:xfrm>
          <a:off x="7971155" y="51464845"/>
          <a:ext cx="1045845" cy="1022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517" name="ID_451FB8A010194A74AE5D9E8FF0605CE8" descr="4-素干丝1kg.jpg"/>
        <xdr:cNvPicPr>
          <a:picLocks noChangeAspect="1"/>
        </xdr:cNvPicPr>
      </xdr:nvPicPr>
      <xdr:blipFill>
        <a:blip r:embed="rId402"/>
        <a:stretch>
          <a:fillRect/>
        </a:stretch>
      </xdr:blipFill>
      <xdr:spPr>
        <a:xfrm>
          <a:off x="8262620" y="160622615"/>
          <a:ext cx="829310" cy="6934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9619" name="ID_AC05DC45B36F410686FED583175ED902" descr="7-400克甜酒酿.jpg"/>
        <xdr:cNvPicPr>
          <a:picLocks noChangeAspect="1"/>
        </xdr:cNvPicPr>
      </xdr:nvPicPr>
      <xdr:blipFill>
        <a:blip r:embed="rId403"/>
        <a:stretch>
          <a:fillRect/>
        </a:stretch>
      </xdr:blipFill>
      <xdr:spPr>
        <a:xfrm>
          <a:off x="8187055" y="201497565"/>
          <a:ext cx="866775" cy="7251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9698" name="ID_45DEE26E3B584F918CDC71C39200F5D9" descr="第14页-104"/>
        <xdr:cNvPicPr>
          <a:picLocks noChangeAspect="1"/>
        </xdr:cNvPicPr>
      </xdr:nvPicPr>
      <xdr:blipFill>
        <a:blip r:embed="rId404"/>
        <a:stretch>
          <a:fillRect/>
        </a:stretch>
      </xdr:blipFill>
      <xdr:spPr>
        <a:xfrm>
          <a:off x="8306435" y="43550205"/>
          <a:ext cx="581025" cy="731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502" name="ID_DA07423D5E12494F85A54B5554AE63C3" descr="10-小素鸡220g.JPG"/>
        <xdr:cNvPicPr>
          <a:picLocks noChangeAspect="1"/>
        </xdr:cNvPicPr>
      </xdr:nvPicPr>
      <xdr:blipFill>
        <a:blip r:embed="rId405"/>
        <a:stretch>
          <a:fillRect/>
        </a:stretch>
      </xdr:blipFill>
      <xdr:spPr>
        <a:xfrm>
          <a:off x="8139430" y="45081825"/>
          <a:ext cx="989965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9699" name="ID_A75AE202596B4265B8B0B0DBC3CEB25A"/>
        <xdr:cNvPicPr>
          <a:picLocks noChangeAspect="1"/>
        </xdr:cNvPicPr>
      </xdr:nvPicPr>
      <xdr:blipFill>
        <a:blip r:embed="rId406"/>
        <a:stretch>
          <a:fillRect/>
        </a:stretch>
      </xdr:blipFill>
      <xdr:spPr>
        <a:xfrm>
          <a:off x="8225790" y="54717315"/>
          <a:ext cx="626745" cy="746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7" name="ID_7A51B4AB19F347F9852C6FFFF5304349"/>
        <xdr:cNvPicPr>
          <a:picLocks noChangeAspect="1"/>
        </xdr:cNvPicPr>
      </xdr:nvPicPr>
      <xdr:blipFill>
        <a:blip r:embed="rId407"/>
        <a:stretch>
          <a:fillRect/>
        </a:stretch>
      </xdr:blipFill>
      <xdr:spPr>
        <a:xfrm>
          <a:off x="8022590" y="49832260"/>
          <a:ext cx="1032510" cy="1146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3" name="ID_8AA7BEC48FF9400DAAF8D22AC22010AF" descr="樱玉豆腐.jpg"/>
        <xdr:cNvPicPr>
          <a:picLocks noChangeAspect="1"/>
        </xdr:cNvPicPr>
      </xdr:nvPicPr>
      <xdr:blipFill>
        <a:blip r:embed="rId408"/>
        <a:srcRect b="14815"/>
        <a:stretch>
          <a:fillRect/>
        </a:stretch>
      </xdr:blipFill>
      <xdr:spPr>
        <a:xfrm>
          <a:off x="6267450" y="25841325"/>
          <a:ext cx="932815" cy="675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8446" name="ID_50120A5AC4E04323B39BCF7CE51C1211" descr="油豆腐1kg.jpg"/>
        <xdr:cNvPicPr>
          <a:picLocks noChangeAspect="1"/>
        </xdr:cNvPicPr>
      </xdr:nvPicPr>
      <xdr:blipFill>
        <a:blip r:embed="rId409"/>
        <a:stretch>
          <a:fillRect/>
        </a:stretch>
      </xdr:blipFill>
      <xdr:spPr>
        <a:xfrm>
          <a:off x="8348980" y="56330215"/>
          <a:ext cx="476250" cy="683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7" name="ID_C3A057E3A5634FE592D4264E5C7FA17E"/>
        <xdr:cNvPicPr>
          <a:picLocks noChangeAspect="1"/>
        </xdr:cNvPicPr>
      </xdr:nvPicPr>
      <xdr:blipFill>
        <a:blip r:embed="rId410"/>
        <a:stretch>
          <a:fillRect/>
        </a:stretch>
      </xdr:blipFill>
      <xdr:spPr>
        <a:xfrm>
          <a:off x="7331075" y="656717000"/>
          <a:ext cx="2552700" cy="13525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<sst xmlns="http://schemas.openxmlformats.org/spreadsheetml/2006/main" count="4536" uniqueCount="906">
  <si>
    <t>序号</t>
  </si>
  <si>
    <t>存货</t>
  </si>
  <si>
    <t>采购单位</t>
  </si>
  <si>
    <t>规格</t>
  </si>
  <si>
    <t>数量</t>
  </si>
  <si>
    <t>金额</t>
  </si>
  <si>
    <t>参考图片</t>
  </si>
  <si>
    <t>性质</t>
  </si>
  <si>
    <t>产品描述</t>
  </si>
  <si>
    <t>备注</t>
  </si>
  <si>
    <t>豆腐乳</t>
  </si>
  <si>
    <t>kg</t>
  </si>
  <si>
    <t>豆制</t>
  </si>
  <si>
    <t>色泽红亮或乳白、质地细腻，咸香适口、发酵香气纯正，无霉斑异味杂质；口感绵柔，佐餐、调味、烹饪用；验收：无胀罐、无变质。</t>
  </si>
  <si>
    <t>腐竹</t>
  </si>
  <si>
    <t>色泽淡黄、干燥、枝条均匀，无碎条粘连杂质；泡发后筋道有弹性、豆香浓郁，适合凉拌、火锅、炖菜；验收：干燥、无霉变异味虫蛀。</t>
  </si>
  <si>
    <t>海鳗干</t>
  </si>
  <si>
    <t>农副</t>
  </si>
  <si>
    <t>鱼体完整干燥、色泽黄亮，无杂质霉变异味；肉质紧实，适合炖菜煲汤蒸制；验收：干燥、无哈喇味。</t>
  </si>
  <si>
    <t>花生米</t>
  </si>
  <si>
    <t>颗粒饱满、大小均匀，表皮浅红或粉红色，干燥无霉变、无虫蛀、无发芽、无沙土杂质；油脂适中、香脆，适合炒制、油炸、煲汤、馅料；验收：干燥、无哈喇味、碎粒少。</t>
  </si>
  <si>
    <t>精品咸鸭蛋</t>
  </si>
  <si>
    <t>只</t>
  </si>
  <si>
    <t>60g/只</t>
  </si>
  <si>
    <t>蛋壳完整干净、无裂纹霉斑；蛋黄起沙流油、咸淡适中，蛋白细嫩无黑心异味；采用新鲜鸭蛋腌制、无重金属超标；验收：无破壳、无散黄。</t>
  </si>
  <si>
    <t>净鹌鹑蛋</t>
  </si>
  <si>
    <t>蛋壳洁净完整、大小均匀无破损；蛋白细嫩、蛋黄绵密，新鲜无变质；已去壳处理、洁净无杂质，适合卤制、火锅、配菜；验收：无破蛋、无异味杂质。</t>
  </si>
  <si>
    <t>松花蛋</t>
  </si>
  <si>
    <t>蛋壳完整无裂纹霉斑；蛋白茶褐色半透明、带松花纹理，蛋黄溏心适中、无刺鼻碱味、无铅工艺；口感绵密醇香；验收：无破壳、无黑心异味。</t>
  </si>
  <si>
    <t>咸蛋黄</t>
  </si>
  <si>
    <t>个</t>
  </si>
  <si>
    <t>色泽金黄油润、大小均匀，无散黄破损杂质；起沙出油、咸香浓郁、新鲜不变质，适合月饼、粽子、糕点馅料；验收：无霉点、无异味碎粒。</t>
  </si>
  <si>
    <t>豌豆粉丝</t>
  </si>
  <si>
    <t>色泽洁白透亮、粗细均匀，无碎条粘连杂质；口感爽滑筋道、久煮不烂，适合凉拌、火锅、汤粉；验收：干燥、无霉变异味。</t>
  </si>
  <si>
    <t>黑米</t>
  </si>
  <si>
    <t>米粒细长、乌黑油亮、表面光滑，无白心碎米杂质；米质紧实，蒸煮软糯有嚼劲，富含花青素；验收：干燥、无霉点虫蛀、无染色。</t>
  </si>
  <si>
    <t>黑芝麻粉</t>
  </si>
  <si>
    <t>细腻均匀、无结块杂质，深黑色、芝麻香气浓郁，无添加、无哈喇味；粉质干燥松散，适合冲饮、烘焙、调味；验收：细度达标、无受潮霉变。</t>
  </si>
  <si>
    <t>红豆</t>
  </si>
  <si>
    <t>颗粒圆润饱满、色泽鲜红均匀，无瘪粒虫眼杂质霉变；质地坚硬、易煮烂、口感沙糯，适合煮粥、豆沙、甜品；验收：颗粒完整、干燥无异味。</t>
  </si>
  <si>
    <t>红薯粉丝</t>
  </si>
  <si>
    <t>色泽自然微黄、粗细均匀，无碎条粘连杂质；口感软糯筋道，适合火锅、炖菜、凉拌；验收：干燥、无霉点异味。</t>
  </si>
  <si>
    <t>红枣（带核）</t>
  </si>
  <si>
    <t>果形饱满、色泽红润、肉质厚实，无霉变虫蛀异味杂质；口感香甜，适合煲汤、泡茶、零食；验收：干燥、无霉点虫蛀。</t>
  </si>
  <si>
    <t>绿豆粉丝</t>
  </si>
  <si>
    <t>色泽洁白、细而不断，无碎条粘连杂质；口感爽滑，适合凉拌、火锅、汤粉；验收：干燥、无霉变异味。</t>
  </si>
  <si>
    <t>绿豆</t>
  </si>
  <si>
    <t>颗粒饱满、色泽鲜绿均匀，无瘪粒虫蛀霉变杂质；易煮烂、口感清甜，用于绿豆汤、豆沙、发豆芽；验收：颗粒均匀、干燥无异味。</t>
  </si>
  <si>
    <t>黑芝麻（生）</t>
  </si>
  <si>
    <t>颗粒饱满、乌黑油亮、大小均匀，无杂质霉变虫蛀、无哈喇味；香气纯正，适合炒制、磨粉、烘焙调味；验收：干燥、无碎粒沙土。</t>
  </si>
  <si>
    <t>小米</t>
  </si>
  <si>
    <t>颗粒细小均匀、色泽金黄，无碎米杂质霉变；蒸煮软糯清香、米油丰富，适合煮粥煮饭；验收：干燥、无霉点虫蛀。</t>
  </si>
  <si>
    <t>薏米</t>
  </si>
  <si>
    <t>颗粒饱满、长椭圆形、色泽乳白，无杂质霉变虫蛀异味；口感软糯微甜，适合煲汤煮粥祛湿；验收：颗粒完整、干燥无哈喇味。</t>
  </si>
  <si>
    <t>玉米粉</t>
  </si>
  <si>
    <t>粉质细腻、色泽金黄、无结块杂质霉变；玉米清香浓郁，用于面食、糕点、勾芡；验收：细度达标、无受潮异味。</t>
  </si>
  <si>
    <t>四色杂粮米</t>
  </si>
  <si>
    <t>黑米、红米、糙米、白米配比均匀，颗粒均匀、色泽自然无杂质霉变虫蛀；营养均衡、口感丰富，适合杂粮饭、粥；验收：配比均匀、干燥无异味。</t>
  </si>
  <si>
    <t>酱鸭腿</t>
  </si>
  <si>
    <t>肉质紧实、酱香浓郁、色泽红亮，咸淡适中无霉点异味；风干工艺、口感醇香，适合蒸制、配菜；验收：无变质异味发霉。</t>
  </si>
  <si>
    <t>金华火腿</t>
  </si>
  <si>
    <t>色泽红润、肥瘦相间、香气浓郁，咸香适口无霉点异味；正宗发酵工艺，适合煲汤、蒸制提鲜；验收：无哈喇味、无霉变杂质。</t>
  </si>
  <si>
    <t>咸肉（腿肉）</t>
  </si>
  <si>
    <t>色泽红润、肥瘦均匀、咸香浓郁，无霉点异味哈喇味；风干腌制，适合蒸制、炖菜提鲜；验收：无霉变异味。</t>
  </si>
  <si>
    <t>西火腿</t>
  </si>
  <si>
    <t>2kg/个</t>
  </si>
  <si>
    <t>肉质紧实、色泽粉红、咸香适口，无霉点异味杂质；适合切片、配菜、三明治；验收：无变质异味。</t>
  </si>
  <si>
    <t>咸条肉</t>
  </si>
  <si>
    <t>肥瘦均匀、咸香浓郁，无霉点异味哈喇味；适合蒸制、炖菜、配菜；验收：无霉变异味。</t>
  </si>
  <si>
    <t>抱腌菜</t>
  </si>
  <si>
    <t>色泽鲜绿、咸酸适口，无腐烂异味杂质；发酵香气纯正，适合炒菜、佐餐；验收：无霉变异味。</t>
  </si>
  <si>
    <t>酸菜</t>
  </si>
  <si>
    <t>色泽鲜黄、咸酸适口，无腐烂异味杂质；发酵纯正，适合酸菜鱼、炒菜；验收：无霉变异味。</t>
  </si>
  <si>
    <t>倒笃菜</t>
  </si>
  <si>
    <t>色泽鲜绿、咸香适口，无腐烂异味杂质；本地腌制，适合炒菜佐餐；验收：无霉变异味。</t>
  </si>
  <si>
    <t>干百合</t>
  </si>
  <si>
    <t>片大完整、色泽洁白，无杂质霉变虫蛀异味；泡发软糯，适合煲汤甜品养生；验收：干燥、无霉点。</t>
  </si>
  <si>
    <t>干莲子</t>
  </si>
  <si>
    <t>颗粒饱满、色泽乳白、无芯，无杂质霉变虫蛀异味；口感软糯，适合煮粥煲汤甜品；验收：干燥、无变质。</t>
  </si>
  <si>
    <t>枸杞</t>
  </si>
  <si>
    <t>颗粒饱满、色泽鲜红，无杂质霉变虫蛀异味；口感甜润，适合煲汤泡茶甜品；验收：干燥、无结块。</t>
  </si>
  <si>
    <t>荷叶</t>
  </si>
  <si>
    <t>张</t>
  </si>
  <si>
    <t>叶片完整、色泽青绿、清香浓郁，无破损霉变异味；适合包饭包肉蒸制去腥；验收：干燥、无霉点。</t>
  </si>
  <si>
    <t>红枣片</t>
  </si>
  <si>
    <t>片大均匀、色泽鲜红，无杂质霉变虫蛀异味；口感香甜，适合泡茶煲汤甜品；验收：干燥、无霉点。</t>
  </si>
  <si>
    <t>黄豆</t>
  </si>
  <si>
    <t>颗粒饱满、色泽金黄，无杂质霉变虫蛀异味；适合磨豆浆、豆腐、煮粥煲汤；验收：干燥、无变质。</t>
  </si>
  <si>
    <t>酱瓜</t>
  </si>
  <si>
    <t>色泽金黄、咸甜适口，无腐烂异味杂质；口感脆嫩，适合佐餐配菜炒菜；验收：无霉变异味。</t>
  </si>
  <si>
    <t>酱瓜片</t>
  </si>
  <si>
    <t>片形整齐、色泽金黄、咸甜适口，无腐烂异味杂质；口感脆嫩，适合佐餐配菜；验收：无霉变异味。</t>
  </si>
  <si>
    <t>小脆瓜</t>
  </si>
  <si>
    <t>口感脆嫩、咸甜适口，无腐烂异味杂质；适合佐餐配菜炒菜；验收：无霉变异味。</t>
  </si>
  <si>
    <t>脆瓜</t>
  </si>
  <si>
    <t>萝卜干</t>
  </si>
  <si>
    <t>色泽金黄、干燥，无杂质霉变异味；咸香适口，适合佐餐炒菜配菜；验收：干燥、无霉点。</t>
  </si>
  <si>
    <t>梅干菜</t>
  </si>
  <si>
    <t>色泽黄褐、干燥、香气浓郁，无杂质霉变异味；适合梅菜扣肉、炒菜煲汤；验收：干燥、无霉点。</t>
  </si>
  <si>
    <t>泡菜</t>
  </si>
  <si>
    <t>色泽鲜爽、咸酸适口，无腐烂异味杂质；发酵纯正，适合佐餐炒菜配菜；验收：无霉变异味。</t>
  </si>
  <si>
    <t>泡豇豆</t>
  </si>
  <si>
    <t>色泽鲜绿、咸酸适口，无腐烂异味杂质；口感脆嫩，适合炒菜佐餐配菜；验收：无霉变异味。</t>
  </si>
  <si>
    <t>什锦菜</t>
  </si>
  <si>
    <t>配料均匀、色泽鲜爽、咸甜适口，无腐烂异味杂质；适合佐餐配菜炒菜；验收：无霉变异味。</t>
  </si>
  <si>
    <t>生黑芝麻</t>
  </si>
  <si>
    <t>颗粒饱满、色泽乌黑，无杂质霉变虫蛀异味；香气纯正，适合炒制磨粉调味；验收：干燥、无碎粒。</t>
  </si>
  <si>
    <t>水发黑木耳</t>
  </si>
  <si>
    <t>耳片完整、色泽黑亮，无泥沙杂质腐烂异味；口感脆嫩，适合炒凉拌煲汤；验收：干净、无沙。</t>
  </si>
  <si>
    <t>笋干</t>
  </si>
  <si>
    <t>色泽黄褐、干燥，无杂质霉变虫蛀异味；泡发脆嫩，适合炒炖煲汤；验收：干燥、无霉点。</t>
  </si>
  <si>
    <t>台湾酸菜</t>
  </si>
  <si>
    <t>色泽鲜黄、咸酸适口，无腐烂异味杂质；发酵纯正，适合酸菜鱼炒菜佐餐；验收：无霉变异味。</t>
  </si>
  <si>
    <t>红枣（无核）</t>
  </si>
  <si>
    <t>颗粒饱满、色泽鲜红无核，无杂质霉变虫蛀异味；口感香甜，适合泡茶煲汤甜品；验收：干燥、无霉点。</t>
  </si>
  <si>
    <t>西湖莼菜</t>
  </si>
  <si>
    <t>包</t>
  </si>
  <si>
    <t>叶片鲜嫩、色泽鲜绿，无杂质腐烂异味；口感滑嫩，适合汤品凉拌；验收：新鲜、无变质。</t>
  </si>
  <si>
    <t>新鲜百合</t>
  </si>
  <si>
    <t>鳞片肥厚、色泽洁白，无烂片杂质异味；口感脆嫩或粉糯，适合炒煲汤甜品；验收：新鲜、无变质。</t>
  </si>
  <si>
    <t>紫菜</t>
  </si>
  <si>
    <t>片薄完整、色泽黑亮，无泥沙杂质霉变异味；口感鲜香，适合汤品凉拌；验收：干燥、无沙。</t>
  </si>
  <si>
    <t>淡虾皮</t>
  </si>
  <si>
    <t>片薄完整、色泽淡黄，无杂质泥沙异味霉变；口感鲜香，适合调味煲汤炒菜；验收：干燥、无沙。</t>
  </si>
  <si>
    <t>虾干</t>
  </si>
  <si>
    <t>虾体完整干燥、色泽红亮，无杂质霉变异味；口感鲜香，适合煲汤炒菜零食；验收：干燥、无哈喇味。</t>
  </si>
  <si>
    <t>虾皮</t>
  </si>
  <si>
    <t>话梅干（咸、甜）</t>
  </si>
  <si>
    <t>果肉饱满、色泽棕褐、酸甜适口，无杂质霉变异味；口感软糯，适合零食泡水调味；验收：干燥、无霉点。</t>
  </si>
  <si>
    <t>白萝卜</t>
  </si>
  <si>
    <t>蔬菜</t>
  </si>
  <si>
    <t>表皮洁白光滑、个头均匀、肉质脆嫩，无空心黑心腐烂虫蛀；口感清甜，适合炖汤、红烧、凉拌；验收：新鲜、水分足无空心。</t>
  </si>
  <si>
    <t>虫草花（新鲜）</t>
  </si>
  <si>
    <t>气味上菌香味浓，无刺激性气味；杂质方面无肉眼可见外来异物、无黑根、无虫蛀等现象，底座无结块发黑的情况；大小均一，呈棒球状，条形完整均匀，长度约6cm左右，无子实体底座，棒杆粗细宽度不小于2mm。验收：干燥、无霉点。</t>
  </si>
  <si>
    <t>绣球菌</t>
  </si>
  <si>
    <t>菌瓣洁白舒展、朵形完整均匀，肉质紧实脆嫩，无发黄发黑、霉变腐烂、虫蛀泥沙、软烂空心；口感清香鲜甜、脆爽可口，适合清炒、煲汤、涮锅、凉拌；验收：新鲜干爽、无霉烂、无虫蛀、无空心。</t>
  </si>
  <si>
    <t>竹荪（新鲜）</t>
  </si>
  <si>
    <t>菌裙完整洁白、菌柄饱满均匀、色泽浅黄自然，无发黑发霉、异味发酸、虫蛀泥沙、干枯空心、软烂变质；口感脆嫩鲜香、清爽回甘，适合煲汤、炖菜、涮锅、清炒；验收：干燥干爽、新鲜无霉、无虫蛀空心。</t>
  </si>
  <si>
    <t>竹荪（干）</t>
  </si>
  <si>
    <t>松茸</t>
  </si>
  <si>
    <t>菌盖完整紧实、色泽自然淡黄、菌身粗壮均匀、肉质肥厚饱满，无发黑腐烂、虫蛀空心、破损变质、异味泥沙；口感鲜香浓郁、脆嫩爽滑，适合刺身、煲汤、煎烤、清炒；验收：新鲜饱满、水分足、无空心虫蛀。</t>
  </si>
  <si>
    <t>猪肚菇</t>
  </si>
  <si>
    <t>菌盖厚实完整、色泽浅褐自然、朵形均匀、肉质紧实肥厚，无发黑腐烂、虫蛀空心、破损霉变、泥沙异味；口感脆嫩弹牙、清香回甘，适合煲汤、红烧、清炒、涮锅；验收：新鲜干爽、无空心虫蛀、无软烂变质。</t>
  </si>
  <si>
    <t>白木耳</t>
  </si>
  <si>
    <t>朵大完整、色泽洁白，无杂质霉变异味；泡发软糯，适合煲汤、甜品；验收：干燥、无霉点异味。</t>
  </si>
  <si>
    <t>白云菇</t>
  </si>
  <si>
    <t>菌盖完整、色泽洁白、肉质厚实，无泥沙腐烂异味；口感鲜嫩，适合炒炖火锅；验收：新鲜、无虫蛀变质。</t>
  </si>
  <si>
    <t>白芸豆</t>
  </si>
  <si>
    <t>颗粒饱满、色泽乳白，无杂质霉变虫蛀；口感软糯，适合煮粥、煲汤、炖肉；验收：干燥、无异味。</t>
  </si>
  <si>
    <t>百果</t>
  </si>
  <si>
    <t>果肉饱满、外壳完整，无霉变虫蛀异味；口感香甜，适合煲汤、甜品；验收：干燥、无变质。</t>
  </si>
  <si>
    <t>包心菜</t>
  </si>
  <si>
    <t>结球紧实、叶片鲜嫩、色泽翠绿，无烂叶虫蛀空心；口感脆嫩，适合炒、凉拌、火锅；验收：新鲜、无烂叶紧实。</t>
  </si>
  <si>
    <t>宝塔菜</t>
  </si>
  <si>
    <t>形状规整、色泽洁白、肉质脆嫩，无腐烂杂质异味；口感清甜，适合腌制、凉拌、炒菜；验收：新鲜、无虫蛀。</t>
  </si>
  <si>
    <t>贝贝南瓜</t>
  </si>
  <si>
    <t>个头小巧、表皮金黄、肉质粉糯香甜，无腐烂虫蛀；适合蒸制、甜品、煲汤；验收：新鲜、无变质。</t>
  </si>
  <si>
    <t>鞭笋</t>
  </si>
  <si>
    <t>笋体鲜嫩、色泽洁白，无老根腐烂虫蛀异味；口感脆嫩，适合炒炖煲汤；验收：新鲜、无空心。</t>
  </si>
  <si>
    <t>冰草</t>
  </si>
  <si>
    <t>盒</t>
  </si>
  <si>
    <t>叶片鲜嫩、表面带冰晶、色泽鲜绿，无腐烂黄叶杂质；口感脆嫩多汁，适合凉拌、沙拉；验收：新鲜、无烂叶。</t>
  </si>
  <si>
    <t>菠菜</t>
  </si>
  <si>
    <t>叶片鲜嫩、色泽翠绿，无烂叶黄叶泥沙虫蛀；口感嫩滑，适合炒、汤、凉拌；验收：新鲜、无老根。</t>
  </si>
  <si>
    <t>蚕豆肉</t>
  </si>
  <si>
    <t>颗粒饱满、色泽鲜绿，无杂质腐烂异味；口感粉糯，适合炒炖煲汤；验收：新鲜、无虫蛀。</t>
  </si>
  <si>
    <t>茶树菇</t>
  </si>
  <si>
    <t>菌盖完整、菌柄粗壮，无泥沙腐烂异味；口感鲜香，适合炒炖煲汤火锅；验收：新鲜、无虫蛀。</t>
  </si>
  <si>
    <t>加干茶树菇</t>
  </si>
  <si>
    <t>虫草花</t>
  </si>
  <si>
    <t>色泽金黄、菌柄均匀，无杂质霉变异味；口感脆嫩，适合煲汤、炒菜、凉拌；验收：新鲜、无变质。</t>
  </si>
  <si>
    <t>加干虫草花</t>
  </si>
  <si>
    <t>春笋</t>
  </si>
  <si>
    <t>笋体粗壮、肉质鲜嫩，无老根空心腐烂虫蛀；口感脆嫩，适合炒炖煲汤；验收：新鲜、无异味。</t>
  </si>
  <si>
    <t>大白菜</t>
  </si>
  <si>
    <t>叶片鲜嫩、结球紧实、色泽鲜绿，无烂叶虫蛀空心；口感清甜，适合炒炖火锅腌制；验收：新鲜、紧实。</t>
  </si>
  <si>
    <t>大茄子</t>
  </si>
  <si>
    <t>果形端正、色泽紫亮、肉质细嫩，无腐烂虫蛀异味；口感绵软，适合炒烧烤凉拌；验收：新鲜、无老皮。</t>
  </si>
  <si>
    <t>大蒜子</t>
  </si>
  <si>
    <t>颗粒饱满、表皮洁白，无发芽腐烂异味杂质；蒜香浓郁，适合调味炒菜腌制；验收：新鲜、无干瘪。</t>
  </si>
  <si>
    <t>刀豆</t>
  </si>
  <si>
    <t>豆荚鲜嫩、色泽鲜绿，无老筋腐烂虫蛀异味；口感脆嫩，适合炒凉拌；验收：新鲜、无老豆。</t>
  </si>
  <si>
    <t>地瓜</t>
  </si>
  <si>
    <t>表皮光滑、色泽鲜艳、肉质脆嫩或粉糯，无腐烂虫蛀空心；适合蒸煮烤炒菜；验收：新鲜、无变质。</t>
  </si>
  <si>
    <t>冬瓜</t>
  </si>
  <si>
    <t>果形端正、表皮青绿、肉质厚实，无腐烂空心虫蛀；口感清甜，适合炖汤红烧炒；验收：新鲜、坚实。</t>
  </si>
  <si>
    <t>冬笋</t>
  </si>
  <si>
    <t>笋体短小、肉质洁白，无老根空心腐烂虫蛀；口感脆嫩鲜香，适合炒炖煲汤；验收：新鲜、无异味。</t>
  </si>
  <si>
    <t>豆蔻</t>
  </si>
  <si>
    <t>果实完整、色泽棕黄、香气浓郁，无杂质霉变虫蛀；用于卤味炖肉去腥增香；验收：干燥、无异味。</t>
  </si>
  <si>
    <t>豆苗</t>
  </si>
  <si>
    <t>叶片鲜嫩、色泽鲜绿，无烂叶黄叶泥沙虫蛀；口感嫩滑，适合炒汤火锅；验收：新鲜、无老根。</t>
  </si>
  <si>
    <t>佛手瓜</t>
  </si>
  <si>
    <t>果形端正、表皮光滑、肉质脆嫩，无腐烂虫蛀异味；口感清甜，适合炒凉拌煲汤；验收：新鲜、坚实。</t>
  </si>
  <si>
    <t>光芋艿</t>
  </si>
  <si>
    <t>表皮光滑、个头均匀、肉质洁白，无腐烂虫蛀空心；口感粉糯，适合蒸煮炖炒菜；验收：新鲜、无变质。</t>
  </si>
  <si>
    <t>广东菜心</t>
  </si>
  <si>
    <t>菜梗鲜嫩、色泽翠绿，无烂叶黄叶空心虫蛀；口感脆嫩，适合清炒白灼；验收：新鲜、无老根。</t>
  </si>
  <si>
    <t>海带结</t>
  </si>
  <si>
    <t>结形整齐、色泽褐绿，无泥沙杂质腐烂异味；口感脆嫩，适合煲汤火锅凉拌；验收：干净、无沙。</t>
  </si>
  <si>
    <t>海带丝</t>
  </si>
  <si>
    <t>丝条均匀、色泽褐绿，无泥沙杂质腐烂异味；口感脆嫩，适合煲汤凉拌炒菜；验收：干净、无沙。</t>
  </si>
  <si>
    <t>海鲜菇</t>
  </si>
  <si>
    <t>菌盖完整、菌柄洁白、肉质厚实，无泥沙腐烂异味；口感鲜香脆嫩，适合炒炖火锅；验收：新鲜、无虫蛀。</t>
  </si>
  <si>
    <t>杭椒</t>
  </si>
  <si>
    <t>果形端正、色泽鲜绿、微辣，无腐烂虫蛀异味；适合炒菜调味配菜；验收：新鲜、无烂果。</t>
  </si>
  <si>
    <t>蒿菜</t>
  </si>
  <si>
    <t>叶片鲜嫩、色泽鲜绿，无烂叶黄叶泥沙虫蛀；口感清香，适合炒汤火锅；验收：新鲜、无老根。</t>
  </si>
  <si>
    <t>荷兰豆</t>
  </si>
  <si>
    <t>豆荚鲜嫩、色泽鲜绿，无老筋腐烂虫蛀异味；口感脆甜，适合清炒凉拌；验收：新鲜、无老豆。</t>
  </si>
  <si>
    <t>荷兰芹</t>
  </si>
  <si>
    <t>叶片鲜嫩、色泽翠绿、香气浓郁，无烂叶黄叶泥沙；适合调味摆盘沙拉；验收：新鲜、无异味。</t>
  </si>
  <si>
    <t>荷兰土豆</t>
  </si>
  <si>
    <t>个头均匀、表皮光滑、肉质黄嫩，无发芽变绿腐烂；口感粉糯，适合炒炖红烧土豆泥；验收：新鲜、无发芽。</t>
  </si>
  <si>
    <t>红光芋艿</t>
  </si>
  <si>
    <t>表皮红润、个头均匀、肉质粉糯，无腐烂虫蛀空心；适合蒸煮炖炒菜；验收：新鲜、无变质。</t>
  </si>
  <si>
    <t>红椒</t>
  </si>
  <si>
    <t>果形端正、色泽红亮、肉质厚实，无腐烂虫蛀异味；适合炒菜配色调味；验收：新鲜、坚实。</t>
  </si>
  <si>
    <t>红叶生菜</t>
  </si>
  <si>
    <t>叶片鲜嫩、色泽红亮，无烂叶黄叶杂质；口感脆嫩，适合沙拉凉拌摆盘；验收：新鲜、无腐烂。</t>
  </si>
  <si>
    <t>迷你胡萝卜</t>
  </si>
  <si>
    <t>表皮橙红光滑、个头细小均匀、形态规整饱满，无开裂畸形、黑心腐烂、虫蛀损伤、干枯木质化；口感脆甜多汁、清香无渣，适合生食、清炒、凉拌、炖汤；验收：新鲜脆嫩、水分足、无空心无木质化。</t>
  </si>
  <si>
    <t>胡萝卜</t>
  </si>
  <si>
    <t>表皮光滑、色泽橙红、肉质脆嫩，无空心腐烂虫蛀；口感清甜，适合炒炖煲汤凉拌；验收：新鲜、坚实。</t>
  </si>
  <si>
    <t>葫芦</t>
  </si>
  <si>
    <t>果形端正、表皮光滑、肉质脆嫩，无腐烂虫蛀异味；口感清甜，适合炒炖煲汤；验收：新鲜、坚实。</t>
  </si>
  <si>
    <t>花菜</t>
  </si>
  <si>
    <t>花球洁白紧实，无烂花黄叶虫蛀异味；口感脆嫩，适合炒凉拌火锅；验收：新鲜、紧实。</t>
  </si>
  <si>
    <t>滑子菇</t>
  </si>
  <si>
    <t>菌盖完整、色泽黄褐，无泥沙腐烂异味；口感滑嫩，适合炒炖火锅煲汤；验收：新鲜、无虫蛀。</t>
  </si>
  <si>
    <t>黄豆芽</t>
  </si>
  <si>
    <t>芽身粗壮、色泽洁白，无烂根烂芽异味杂质；口感脆嫩，适合炒汤火锅；验收：新鲜、无腐烂。</t>
  </si>
  <si>
    <t>黄瓜</t>
  </si>
  <si>
    <t>果形端正、表皮翠绿带刺、肉质脆嫩，无腐烂虫蛀异味；口感清甜，适合凉拌炒生吃；验收：新鲜、坚实。</t>
  </si>
  <si>
    <t>黄椒</t>
  </si>
  <si>
    <t>果形端正、色泽黄亮、肉质厚实，无腐烂虫蛀异味；适合炒菜配色调味；验收：新鲜、坚实。</t>
  </si>
  <si>
    <t>黄节瓜（青）</t>
  </si>
  <si>
    <t>鸡枞菌</t>
  </si>
  <si>
    <t>菌盖完整、菌柄粗壮、肉质厚实，无泥沙腐烂异味；口感鲜香，适合炒炖煲汤火锅；验收：新鲜、无虫蛀。</t>
  </si>
  <si>
    <t>荠菜</t>
  </si>
  <si>
    <t>叶片鲜嫩、色泽鲜绿，无烂叶黄叶泥沙虫蛀；口感清香，适合包饺子炒菜汤；验收：新鲜、无老根。</t>
  </si>
  <si>
    <t>茭白</t>
  </si>
  <si>
    <t>肉质洁白鲜嫩，无黑心空心腐烂虫蛀；口感脆嫩，适合炒凉拌煲汤；验收：新鲜、无黑心。</t>
  </si>
  <si>
    <t>金瓜</t>
  </si>
  <si>
    <t>果形端正、表皮金黄、肉质粉糯，无腐烂虫蛀异味；适合蒸凉拌甜品；验收：新鲜、坚实。</t>
  </si>
  <si>
    <t>金针菇</t>
  </si>
  <si>
    <t>菌盖小巧、菌柄均匀，无烂根腐烂杂质异味；口感滑嫩，适合火锅炒煲汤；验收：新鲜、无烂根。</t>
  </si>
  <si>
    <t>京葱</t>
  </si>
  <si>
    <t>葱梗粗壮、色泽洁白，无烂叶空心异味；葱香浓郁，适合调味炒菜煲汤；验收：新鲜、坚实。</t>
  </si>
  <si>
    <t>净本芹</t>
  </si>
  <si>
    <t>菜梗鲜嫩、色泽翠绿，无老根烂叶杂质异味；口感脆嫩，适合炒凉拌；验收：新鲜、无老筋。</t>
  </si>
  <si>
    <t>净茭白</t>
  </si>
  <si>
    <t>已去皮、肉质洁白鲜嫩，无黑心空心杂质；口感脆嫩，适合炒凉拌；验收：新鲜、无变质。</t>
  </si>
  <si>
    <t>净马蹄</t>
  </si>
  <si>
    <t>去皮洁白、肉质脆嫩，无杂质腐烂异味；口感清甜，适合炒煲汤甜品凉拌；验收：干净、无泥沙。</t>
  </si>
  <si>
    <t>净芹菜</t>
  </si>
  <si>
    <t>已去根叶、菜梗鲜嫩，无老筋杂质异味；口感脆嫩，适合炒凉拌；验收：新鲜、无老根。</t>
  </si>
  <si>
    <t>净莴笋</t>
  </si>
  <si>
    <t>已去皮、肉质翠绿鲜嫩，无空心杂质；口感脆嫩，适合炒凉拌煲汤；验收：新鲜、无变质。</t>
  </si>
  <si>
    <t>韭菜</t>
  </si>
  <si>
    <t>叶片鲜嫩、色泽翠绿，无烂叶黄叶泥沙异味；韭香浓郁，适合炒包饺子；验收：新鲜、无老根。</t>
  </si>
  <si>
    <t>韭黄</t>
  </si>
  <si>
    <t>色泽金黄鲜嫩，无烂叶杂质异味；口感嫩滑，适合炒汤；验收：新鲜、无腐烂。</t>
  </si>
  <si>
    <t>苦菊菜</t>
  </si>
  <si>
    <t>叶片鲜嫩、色泽鲜绿，无烂叶黄叶杂质；口感微苦脆嫩，适合沙拉凉拌；验收：新鲜、无腐烂。</t>
  </si>
  <si>
    <t>老南瓜</t>
  </si>
  <si>
    <t>果形端正、表皮金黄、肉质粉糯香甜，无腐烂虫蛀空心；适合蒸煮甜品煲汤；验收：新鲜、坚实。</t>
  </si>
  <si>
    <t>莲子</t>
  </si>
  <si>
    <t>颗粒饱满、肉质洁白无芯，无杂质腐烂异味；口感软糯，适合煮粥煲汤甜品；验收：新鲜、无变质。</t>
  </si>
  <si>
    <t>芦笋</t>
  </si>
  <si>
    <t>笋体鲜嫩、色泽翠绿，无老根空心腐烂虫蛀；口感脆嫩，适合清炒白灼煲汤；验收：新鲜、无老根。</t>
  </si>
  <si>
    <t>鹿茸菇</t>
  </si>
  <si>
    <t>菌盖完整、菌柄粗壮、肉质厚实，无泥沙腐烂异味；口感鲜香脆嫩，适合炒炖火锅；验收：新鲜、无虫蛀。</t>
  </si>
  <si>
    <t>萝卜</t>
  </si>
  <si>
    <t>表皮光滑、肉质脆嫩，无空心腐烂虫蛀异味；口感清甜，适合炒炖凉拌煲汤；验收：新鲜、坚实。</t>
  </si>
  <si>
    <t>绿豆芽</t>
  </si>
  <si>
    <t>芽身纤细、色泽洁白，无烂根烂芽异味杂质；口感脆嫩，适合炒汤火锅；验收：新鲜、无腐烂。</t>
  </si>
  <si>
    <t>绿叶生菜</t>
  </si>
  <si>
    <t>叶片鲜嫩、色泽鲜绿，无烂叶黄叶杂质；口感脆嫩，适合沙拉凉拌摆盘；验收：新鲜、无腐烂。</t>
  </si>
  <si>
    <t>马兰头</t>
  </si>
  <si>
    <t>叶片鲜嫩、色泽鲜绿，无烂叶黄叶泥沙虫蛀；口感清香，适合凉拌炒菜；验收：新鲜、无老根。</t>
  </si>
  <si>
    <t>马蹄</t>
  </si>
  <si>
    <t>表皮光滑、肉质脆嫩，无腐烂虫蛀泥沙；口感清甜，适合炒煲汤甜品；验收：新鲜、无泥沙。</t>
  </si>
  <si>
    <t>毛毛菜</t>
  </si>
  <si>
    <t>叶片鲜嫩、色泽鲜绿，无烂叶黄叶泥沙虫蛀；口感嫩滑，适合炒汤；验收：新鲜、无老根。</t>
  </si>
  <si>
    <t>毛笋</t>
  </si>
  <si>
    <t>迷你小萝卜</t>
  </si>
  <si>
    <t>个头小巧、表皮光滑、色泽鲜艳、肉质脆嫩，无腐烂虫蛀；适合凉拌沙拉配菜；验收：新鲜、坚实。</t>
  </si>
  <si>
    <t>迷你小香菇</t>
  </si>
  <si>
    <t>菌盖小巧完整、色泽棕褐，无泥沙腐烂异味；口感鲜香，适合炒炖火锅煲汤；验收：新鲜、无虫蛀。</t>
  </si>
  <si>
    <t>干金钱菇</t>
  </si>
  <si>
    <t>菇形圆整如钱币、大小均匀、菌盖紧实内卷、色泽黄褐自然、干度足干爽不潮，无霉变发黑、虫蛀碎烂、泥沙杂质、发酸异味；口感香浓醇厚、肉质紧实耐煮，适合煲汤、红烧、炖肉、配菜；验收：干燥足干、无虫蛀霉烂、无碎末杂质。</t>
  </si>
  <si>
    <t>干香菇（花菇）</t>
  </si>
  <si>
    <t>菇形完整匀称、菌盖花纹清晰、色泽黄褐自然、菌肉厚实、干度足干爽不潮，无霉变发黑、虫蛀破碎、泥沙杂质、异味发酸；口感香浓浓郁、肉质肥厚劲道，适合煲汤、炖菜、红烧、焖煮；验收：足干干爽、无虫蛀霉烂、无空心碎烂。</t>
  </si>
  <si>
    <t>蘑菇</t>
  </si>
  <si>
    <t>菌盖洁白完整、肉质厚实，无泥沙腐烂异味；口感鲜嫩，适合炒炖火锅煲汤；验收：新鲜、无虫蛀。</t>
  </si>
  <si>
    <t>嫩壳花生</t>
  </si>
  <si>
    <t>颗粒饱满、外壳完整，无霉变虫蛀异味；口感鲜嫩，适合煮炒煲汤；验收：新鲜、无变质。</t>
  </si>
  <si>
    <t>嫩菱</t>
  </si>
  <si>
    <t>菱肉洁白鲜嫩，无老筋腐烂杂质异味；口感清甜，适合炒煲汤生吃；验收：新鲜、无老菱。</t>
  </si>
  <si>
    <t>嫩南瓜</t>
  </si>
  <si>
    <t>果形小巧、表皮翠绿、肉质脆嫩，无腐烂虫蛀异味；口感清甜，适合炒凉拌；验收：新鲜、坚实。</t>
  </si>
  <si>
    <t>嫩藕</t>
  </si>
  <si>
    <t>藕节粗壮、肉质洁白，无淤泥腐烂空心异味；口感脆嫩，适合炒凉拌煲汤；验收：新鲜、无泥沙。</t>
  </si>
  <si>
    <t>茄子</t>
  </si>
  <si>
    <t>青菜</t>
  </si>
  <si>
    <t>青尖椒</t>
  </si>
  <si>
    <t>果形端正、色泽鲜绿、辣味适中，无腐烂虫蛀异味；适合炒菜调味配菜；验收：新鲜、坚实。</t>
  </si>
  <si>
    <t>青节瓜</t>
  </si>
  <si>
    <t>秋葵</t>
  </si>
  <si>
    <t>果形端正、色泽鲜绿，无老筋腐烂虫蛀异味；口感滑嫩，适合炒凉拌煲汤；验收：新鲜、无老果。</t>
  </si>
  <si>
    <t>球生菜</t>
  </si>
  <si>
    <t>结球紧实、叶片鲜嫩、色泽鲜绿，无烂叶虫蛀空心；口感脆嫩，适合沙拉凉拌摆盘；验收：新鲜、紧实。</t>
  </si>
  <si>
    <t>生板栗</t>
  </si>
  <si>
    <t>果实饱满、外壳完整，无霉变虫蛀异味；口感粉糯香甜，适合蒸煮炒煲汤；验收：新鲜、无变质。</t>
  </si>
  <si>
    <t>加去皮</t>
  </si>
  <si>
    <t>丝瓜</t>
  </si>
  <si>
    <t>果形端正、表皮翠绿、肉质细嫩，无腐烂虫蛀异味；口感清甜，适合炒汤；验收：新鲜、无老筋。</t>
  </si>
  <si>
    <t>铁棍山药</t>
  </si>
  <si>
    <t>条细质坚、表皮棕黄、肉质粉糯，无腐烂空心虫蛀；口感绵密，适合蒸煮煲汤甜品；验收：新鲜、无变质。</t>
  </si>
  <si>
    <t>茼蒿</t>
  </si>
  <si>
    <t>叶片鲜嫩、色泽鲜绿、香气浓郁，无烂叶黄叶泥沙；口感清香，适合炒汤火锅；验收：新鲜、无老根。</t>
  </si>
  <si>
    <t>土豆</t>
  </si>
  <si>
    <t>娃娃菜</t>
  </si>
  <si>
    <t>个头小巧、叶片鲜嫩、结球紧实，无烂叶虫蛀空心；口感清甜，适合炒炖火锅清蒸；验收：新鲜、紧实。</t>
  </si>
  <si>
    <t>豌豆苗</t>
  </si>
  <si>
    <t>莴苣笋</t>
  </si>
  <si>
    <t>笋体粗壮、肉质翠绿鲜嫩，无空心腐烂虫蛀；口感脆嫩，适合炒凉拌煲汤；验收：新鲜、坚实。</t>
  </si>
  <si>
    <t>西红柿</t>
  </si>
  <si>
    <t>果形端正、色泽红亮、肉质沙甜，无腐烂虫蛀异味；口感酸甜，适合炒汤凉拌生吃；验收：新鲜、坚实。</t>
  </si>
  <si>
    <t>西兰花</t>
  </si>
  <si>
    <t>花球翠绿紧实，无烂花黄叶虫蛀异味；口感脆嫩，适合炒凉拌火锅；验收：新鲜、紧实。</t>
  </si>
  <si>
    <t>西蓝花苔</t>
  </si>
  <si>
    <t>菜苔鲜嫩、色泽翠绿，无老根烂花杂质；口感脆嫩，适合清炒白灼；验收：新鲜、无老根。</t>
  </si>
  <si>
    <t>西南瓜</t>
  </si>
  <si>
    <t>西芹</t>
  </si>
  <si>
    <t>菜梗粗壮、色泽翠绿，无老筋烂叶杂质异味；口感脆嫩，适合炒凉拌煲汤；验收：新鲜、无老根。</t>
  </si>
  <si>
    <t>香菜</t>
  </si>
  <si>
    <t>叶片鲜嫩、色泽鲜绿、香气浓郁，无烂叶黄叶泥沙；适合调味凉拌汤品；验收：新鲜、无老根。</t>
  </si>
  <si>
    <t>香椿</t>
  </si>
  <si>
    <t>芽头鲜嫩、色泽红亮、香气浓郁，无烂叶杂质异味；口感鲜香，适合凉拌炒鸡蛋；验收：新鲜、无老根。</t>
  </si>
  <si>
    <t>香菇</t>
  </si>
  <si>
    <t>菌盖完整、色泽棕褐、肉质厚实，无泥沙腐烂异味；口感鲜香，适合炒炖火锅煲汤；验收：新鲜、无虫蛀。</t>
  </si>
  <si>
    <t>香茅（干）</t>
  </si>
  <si>
    <t>呈细长条状，叶片完整度高，无大面积破损、虫蛀痕迹。验收：整体呈浅黄至黄褐色，色泽均匀，无发黑、霉变、褪色等异常颜色。</t>
  </si>
  <si>
    <t>香芋</t>
  </si>
  <si>
    <t>个头均匀、表皮光滑、肉质粉糯，无腐烂虫蛀空心；口感香甜，适合蒸煮甜品煲汤；验收：新鲜、坚实。</t>
  </si>
  <si>
    <t>小葱</t>
  </si>
  <si>
    <t>葱叶翠绿、葱白洁白，无烂叶空心异味；葱香浓郁，适合调味炒菜凉拌；验收：新鲜、无老根。</t>
  </si>
  <si>
    <t>小地瓜</t>
  </si>
  <si>
    <t>个头小巧、表皮光滑、肉质脆嫩，无腐烂虫蛀空心；适合蒸煮烤生吃；验收：新鲜、坚实。</t>
  </si>
  <si>
    <t>小红尖椒</t>
  </si>
  <si>
    <t>果形小巧、色泽红亮、辣味浓烈，无腐烂虫蛀异味；适合调味炒菜配菜；验收：新鲜、坚实。</t>
  </si>
  <si>
    <t>小尖椒（青、红，二荆条）</t>
  </si>
  <si>
    <t>果形小巧、色泽鲜绿、辣味适中，无腐烂虫蛀异味；适合炒菜调味配菜；验收：新鲜、坚实。</t>
  </si>
  <si>
    <t>小土豆</t>
  </si>
  <si>
    <t>个头小巧、表皮光滑、肉质黄嫩，无发芽变绿腐烂；口感粉糯，适合煎烤炖红烧；验收：新鲜、无发芽。</t>
  </si>
  <si>
    <t>小野笋</t>
  </si>
  <si>
    <t>笋体短小、肉质鲜嫩，无老根空心腐烂虫蛀；口感脆嫩鲜香，适合炒炖煲汤；验收：新鲜、无异味。</t>
  </si>
  <si>
    <t>小紫薯</t>
  </si>
  <si>
    <t>个头小巧、表皮紫亮、肉质粉糯，无腐烂虫蛀空心；适合蒸煮甜品煲汤；验收：新鲜、坚实。</t>
  </si>
  <si>
    <t>心里美萝卜</t>
  </si>
  <si>
    <t>表皮光滑、肉质紫红、脆嫩多汁，无空心腐烂虫蛀；口感清甜，适合凉拌沙拉配菜；验收：新鲜、坚实。</t>
  </si>
  <si>
    <t>杏鲍菇</t>
  </si>
  <si>
    <t>雪里蕻</t>
  </si>
  <si>
    <t>色泽鲜绿、咸香适口，无腐烂异味杂质；验收：无霉变异味。</t>
  </si>
  <si>
    <t>羊肚菌</t>
  </si>
  <si>
    <t>菌盖完整、纹路清晰，无泥沙腐烂异味；口感鲜香，适合煲汤炖品火锅；验收：新鲜、无虫蛀。</t>
  </si>
  <si>
    <t>加干羊肚菌</t>
  </si>
  <si>
    <t>洋葱</t>
  </si>
  <si>
    <t>果形端正、表皮光滑、肉质脆嫩，无腐烂空心异味；辛辣香甜，适合炒炖调味去腥；验收：新鲜、坚实。</t>
  </si>
  <si>
    <t>银芽</t>
  </si>
  <si>
    <t>玉米棒</t>
  </si>
  <si>
    <t>颗粒饱满、色泽金黄，无虫蛀腐烂杂质异味；口感香甜，适合蒸煮烤炒菜；验收：新鲜、无老粒。</t>
  </si>
  <si>
    <t>长瓜</t>
  </si>
  <si>
    <t>长豇豆</t>
  </si>
  <si>
    <t>竹荪</t>
  </si>
  <si>
    <t>菌裙完整、色泽洁白，无杂质霉变异味；口感脆嫩鲜香，适合煲汤炖品火锅；验收：干燥、无霉点。</t>
  </si>
  <si>
    <t>紫甘蓝</t>
  </si>
  <si>
    <t>结球紧实、叶片鲜嫩、色泽紫红，无烂叶虫蛀空心；口感脆嫩，适合凉拌沙拉炒菜；验收：新鲜、紧实。</t>
  </si>
  <si>
    <t>超大明虾</t>
  </si>
  <si>
    <t>30-40头/公斤</t>
  </si>
  <si>
    <t>水产</t>
  </si>
  <si>
    <t>虾体硕大鲜活、壳亮、肉质紧实，无异味断头；口感鲜甜，适合白灼油焖清蒸；验收：鲜活、无变质。</t>
  </si>
  <si>
    <t>大黄鱼</t>
  </si>
  <si>
    <t>不低于750g/条</t>
  </si>
  <si>
    <t>鱼体完整鲜活、鳞片齐全、肉质紧实，无异味淤血；口感鲜嫩，适合清蒸红烧煲汤；验收：鲜活、无变质。</t>
  </si>
  <si>
    <t>大鲈鱼</t>
  </si>
  <si>
    <t>鱼体完整鲜活、鳞片齐全、肉质白嫩，无异味淤血；口感鲜嫩，适合清蒸红烧；验收：鲜活、无变质。</t>
  </si>
  <si>
    <t>海鲈鱼</t>
  </si>
  <si>
    <t>鱼体完整鲜活、鳞片齐全、肉质紧实，无异味淤血；口感鲜嫩，适合清蒸红烧；验收：鲜活、无变质。</t>
  </si>
  <si>
    <t>河鳗</t>
  </si>
  <si>
    <t>不低于300-350g/条</t>
  </si>
  <si>
    <t>鱼体完整鲜活、肉质紧实，无异味淤血；口感鲜嫩肥美，适合红烧清蒸煲汤；验收：鲜活、无变质。</t>
  </si>
  <si>
    <t>黑鱼</t>
  </si>
  <si>
    <t>不低于1500g/条</t>
  </si>
  <si>
    <t>鱼体完整鲜活、肉质紧实，无异味淤血；肉质细嫩，适合酸菜鱼红烧煲汤；验收：鲜活、无变质。</t>
  </si>
  <si>
    <t>黄鳝</t>
  </si>
  <si>
    <t>170-200g/条</t>
  </si>
  <si>
    <t>鱼体完整鲜活、肉质紧实，无异味淤血；口感鲜嫩，适合红烧爆炒煲汤；验收：鲜活、无变质。</t>
  </si>
  <si>
    <t>活明虾</t>
  </si>
  <si>
    <t>50-60头/公斤</t>
  </si>
  <si>
    <t>虾体鲜活壳亮、肉质紧实，无断头异味；口感鲜甜，适合白灼油焖火锅；验收：鲜活、无变质。</t>
  </si>
  <si>
    <t>鳝背</t>
  </si>
  <si>
    <t>去骨、头、尾，100-130g/条</t>
  </si>
  <si>
    <t>肉质鲜嫩无骨，无杂质异味淤血；口感滑嫩，适合爆炒红烧；验收：新鲜、无变质。</t>
  </si>
  <si>
    <t>汪刺鱼</t>
  </si>
  <si>
    <t>100-120g/条</t>
  </si>
  <si>
    <t>鱼体完整鲜活、肉质细嫩，无异味淤血；适合炖汤红烧；验收：鲜活、无变质。</t>
  </si>
  <si>
    <t>小黄鱼</t>
  </si>
  <si>
    <t>200-250g/条</t>
  </si>
  <si>
    <t>鱼体完整鲜活、鳞片齐全、肉质细嫩，无异味淤血；适合清蒸红烧油炸；验收：新鲜、无变质。</t>
  </si>
  <si>
    <t>小鲈鱼</t>
  </si>
  <si>
    <t>小青龙</t>
  </si>
  <si>
    <t>虾体鲜活壳硬、肉质紧实，无断头异味；口感鲜甜肥美，适合清蒸蒜蓉；验收：鲜活、无变质。</t>
  </si>
  <si>
    <t>鱿鱼</t>
  </si>
  <si>
    <t>鱼体完整鲜活、肉质紧实，无异味杂质；口感脆嫩，适合炒烤火锅；验收：新鲜、无变质。</t>
  </si>
  <si>
    <t>丁香</t>
  </si>
  <si>
    <t>香辛料</t>
  </si>
  <si>
    <t>棕褐色、质地坚硬，香气浓郁纯正，无杂质霉变虫蛀；味辛香浓烈，用于卤味、炖肉、煲汤去腥增香；验收：干燥、无异味霉变。</t>
  </si>
  <si>
    <t>茴香</t>
  </si>
  <si>
    <t>颗粒饱满、色泽黄绿、香气清新，无杂质霉变虫蛀；味辛香微甜，用于卤制、炖菜、馅料调味；验收：干燥、无异味、碎末适中。</t>
  </si>
  <si>
    <t>草果</t>
  </si>
  <si>
    <t>果实完整、色泽棕褐、香气浓郁，无杂质霉变虫蛀；用于卤味、炖肉去腥增香；验收：干燥、无异味。</t>
  </si>
  <si>
    <t>青花椒</t>
  </si>
  <si>
    <t>色泽青绿自然、颗粒饱满均匀、干燥干爽无潮，无发黑泛红、霉变虫蛀、枝叶杂质、结块发霉、异味发酸；口感麻味浓郁、清香纯正、无苦涩味，适合炝锅、凉拌、卤制、水煮；验收：足干新鲜、无杂质霉烂、麻香浓郁。</t>
  </si>
  <si>
    <t>孜然</t>
  </si>
  <si>
    <t>颗粒饱满均匀、色泽黄绿自然、干燥干爽无潮，无霉变发黑、虫蛀碎烂、沙石杂质、结块受潮、异味发酸；香气浓郁纯正、无苦涩杂味，适合烧烤、卤制、炒菜、腌制；验收：足干干净、无杂质霉烂、香味浓郁。</t>
  </si>
  <si>
    <t>薄荷叶</t>
  </si>
  <si>
    <t>盆</t>
  </si>
  <si>
    <t>叶片鲜嫩、色泽鲜绿、香气清凉，无烂叶黄叶杂质；口感清凉，适合调味饮品沙拉；验收：新鲜、无异味。</t>
  </si>
  <si>
    <t>蓬莱松</t>
  </si>
  <si>
    <t>枝叶鲜嫩、香气浓郁，无烂叶黄叶杂质；适合西餐烧烤调味摆盘；验收：新鲜、无异味。</t>
  </si>
  <si>
    <t>小青柠</t>
  </si>
  <si>
    <t>果皮呈鲜亮的青绿色或淡绿色，色泽均匀一致，无泛黄、发黑、褐色斑点等变色现象，果皮表面光滑，带有自然光泽.验收：新鲜，无机械损伤（如碰压伤、划伤、刺伤）、无虫眼、无病斑、无腐烂变质部位，无皱皮、干疤等问题。</t>
  </si>
  <si>
    <t>樱桃萝卜</t>
  </si>
  <si>
    <t>肉质根呈圆形，直径控制在2cm - 3cm，大小均匀规整，无畸形、分叉情况。验收：表皮红色完整，无破损、褶皱，颜色均匀鲜亮，无掉色现象，避免挑选表皮有脱水、变质迹象的产品。</t>
  </si>
  <si>
    <t>铜钱草</t>
  </si>
  <si>
    <t>迷迭香</t>
  </si>
  <si>
    <t>胡椒木</t>
  </si>
  <si>
    <t>枝叶鲜嫩、香气浓郁，无烂叶黄叶杂质；适合调味摆盘去腥；验收：新鲜、无异味。</t>
  </si>
  <si>
    <t>三色堇</t>
  </si>
  <si>
    <t>可食用、花朵完整、色泽鲜艳，无腐烂黄叶杂质；适合摆盘装饰沙拉；验收：新鲜、无变质。</t>
  </si>
  <si>
    <t>生姜</t>
  </si>
  <si>
    <t>姜块饱满、表皮光滑，无腐烂发芽异味杂质；姜香浓郁，适合调味去腥炒菜；验收：新鲜、无干瘪。</t>
  </si>
  <si>
    <t>天麻</t>
  </si>
  <si>
    <t>根条完整、色泽黄白，无杂质霉变虫蛀异味；适合煲汤养生炖品；验收：干燥、无变质。</t>
  </si>
  <si>
    <t>党参</t>
  </si>
  <si>
    <t>药材</t>
  </si>
  <si>
    <t>根条粗壮、色泽黄白，无杂质霉变虫蛀异味；香气纯正，适合煲汤养生炖品；验收：干燥、无变质。</t>
  </si>
  <si>
    <t>白芷</t>
  </si>
  <si>
    <t>断面：白色或灰白色粉性，形成层环棕色，皮部散有棕色油点，气味：气芳香，味辛、微苦。验收：无霉变、虫害</t>
  </si>
  <si>
    <t>肉蔻</t>
  </si>
  <si>
    <t>外观：呈卵圆形或椭圆形，长2～3cm，直径1.5～2.5cm。表面灰棕色或灰黄色，有时外被白粉（石灰粉末），气味：气香浓烈，味辛。验收：无霉变、虫害</t>
  </si>
  <si>
    <t>山楂干</t>
  </si>
  <si>
    <t>表皮为灰褐色至枣红色，肉为红黄色的片状体。验收：切片均匀，无破碎、虫蛀、霉变现象</t>
  </si>
  <si>
    <t>山奈</t>
  </si>
  <si>
    <t>质地脆硬，容易折断，断面平整，无发软、黏手的现象，手捏后松开能较快恢复形态，不结团、不粘腻。验收：具有山奈特有的浓郁芳香气味，无刺鼻的异味、霉味、酸味或其他杂味。</t>
  </si>
  <si>
    <t>当归</t>
  </si>
  <si>
    <t>断面黄白色或淡黄棕色，形成层环黄棕色，质柔韧，不柴性大、不干枯无油。验收：有浓郁的香气，味甘、辛、微苦，无霉变、虫蛀等异味。</t>
  </si>
  <si>
    <t>五指毛桃</t>
  </si>
  <si>
    <t>表面呈灰黄色或黄棕色，带有红棕色斑纹及明显纵皱纹。验收：具有特异椰奶香气，味微甘，无霉变、虫蛀、腐烂、酸败、刺鼻异味。</t>
  </si>
  <si>
    <t>东北酸菜</t>
  </si>
  <si>
    <t>呈自然黄白色或浅黄色，色泽均匀，无发黑、褐变现象，表面无霉斑，菜叶组织结构完整，保持一定脆嫩度，无软烂、黏腻现象。验收：具有酸菜特有的酸香气味，无腐败味、臭味、霉味或其他异味。</t>
  </si>
  <si>
    <t>笋壳鱼</t>
  </si>
  <si>
    <t>鱼体完整，无外伤，眼球饱满、角膜透明清亮；
鱼鳃色泽鲜红、鳃丝清晰，黏液透明无异味；
鱼肉坚实有弹性，手指按压后凹陷立即消失；</t>
  </si>
  <si>
    <t>水发海参</t>
  </si>
  <si>
    <t>形态：个体饱满、体型完整，刺型规整且坚挺有弹性；无破损、溃烂、畸形，大小均匀度符合批次要求。
触感：肉质厚实有弹性，按压后能迅速回弹；表面无粘液、不软塌，无明显软烂或僵硬感。
气味：带有海参特有的鲜腥气，无腐臭味、酸味、药水味等异常气味。</t>
  </si>
  <si>
    <t>豆腐鱼</t>
  </si>
  <si>
    <t>鱼体完整无破损，鱼皮光泽自然，眼球饱满清亮，鳃丝呈鲜红色，鱼鳃紧闭无异味，鱼体肌肉紧实有弹性。</t>
  </si>
  <si>
    <t>淡菜干</t>
  </si>
  <si>
    <t>外观形态：颗粒完整，大小均匀，无破碎、无霉变、无虫蛀、无杂质。表面呈深褐色至紫褐色，有自然光泽。
气味：具有淡菜干特有的鲜香气味，无异味、臭味、霉味。</t>
  </si>
  <si>
    <t>沼虾</t>
  </si>
  <si>
    <t>外观：大小均匀，虾壳完整发亮，呈青绿色或青白色，无黑斑、破损；虾眼突起明亮，无浑浊；虾头与虾身连接紧密，不易脱落</t>
  </si>
  <si>
    <t>40-50头/公斤</t>
  </si>
  <si>
    <t>鲜人参</t>
  </si>
  <si>
    <t>外观：人参根茎、主根、须根应完整无断裂，芦头（根茎上部）饱满无残茎，验收：表皮呈黄白色或浅棕色，色泽均匀，无黑斑、锈斑（少量自然锈斑可接受）。</t>
  </si>
  <si>
    <t>不低于3-5g/条</t>
  </si>
  <si>
    <t>三色藜麦</t>
  </si>
  <si>
    <t>肉质：虾身紧实有弹性，按压后能迅速恢复原状，无发软、发黏现象</t>
  </si>
  <si>
    <t>云丝</t>
  </si>
  <si>
    <t>色泽淡黄、质地干燥，丝条均匀无碎条;适用场景：凉拌、火锅、炒菜、煲汤;验收标准：干燥无霉、无异味、无粘连</t>
  </si>
  <si>
    <t>按需采购</t>
  </si>
  <si>
    <t>桶</t>
  </si>
  <si>
    <t>2.5kg/桶</t>
  </si>
  <si>
    <t>检测报告</t>
  </si>
  <si>
    <t>腐竹（干）</t>
  </si>
  <si>
    <t>枚</t>
  </si>
  <si>
    <t>100g左右/个</t>
  </si>
  <si>
    <t>米粉干</t>
  </si>
  <si>
    <t>色泽洁白透亮、粗细均匀，无碎条粘连，久煮不烂;适用场景：汤粉、炒粉、凉拌、火锅;验收标准：干燥无霉、无异味、无断裂</t>
  </si>
  <si>
    <t>非转基因，检测报告</t>
  </si>
  <si>
    <t>农家香肠</t>
  </si>
  <si>
    <t>肉质新鲜、肥瘦适中，风味纯正无添加;适用场景：蒸、炒、煮、火锅;验收标准：无变质、无霉变、香气自然</t>
  </si>
  <si>
    <t>咸肉</t>
  </si>
  <si>
    <t>腿肉，检测报告</t>
  </si>
  <si>
    <t>八宝菜</t>
  </si>
  <si>
    <t>配料齐全、新鲜洁净，无腐烂杂质异味;适用场景：炒菜、凉拌、佐餐;验收标准：新鲜无变质、无烂叶</t>
  </si>
  <si>
    <t>干黄花菜</t>
  </si>
  <si>
    <t>色泽金黄、干燥干爽，花条完整无硫熏;适用场景：煲汤、炒菜、凉拌;验收标准：干燥无潮、无异味、无发黑</t>
  </si>
  <si>
    <t>水发猪发皮</t>
  </si>
  <si>
    <t>颜色：奶白 / 微黄、半透明
质地：松软有弹性、不硬、不糟烂
厚度：0.3～0.8cm</t>
  </si>
  <si>
    <t>红枣（干）</t>
  </si>
  <si>
    <t>酱鸭</t>
  </si>
  <si>
    <t>肉质紧实、酱香浓郁、色泽红亮，咸淡适中;适用场景：蒸制、配菜、煲汤;验收标准：无发霉、无异味、肉质干爽</t>
  </si>
  <si>
    <t>2斤</t>
  </si>
  <si>
    <t>酱瓜条</t>
  </si>
  <si>
    <t>条型整齐、色金黄，咸甜脆嫩爽口;适用场景：佐餐、配菜、炒菜;验收标准：无霉变、无异味、脆嫩无软烂</t>
  </si>
  <si>
    <t>条肉，肥瘦均匀、咸香浓郁，无霉点异味哈喇味；适合蒸制、炖菜、配菜；验收：无霉变异味。</t>
  </si>
  <si>
    <t>糖炒板栗</t>
  </si>
  <si>
    <t>果实饱满、外壳光亮无破损，果肉金黄粉糯香甜，无霉变虫蛀空壳;适用场景：即食、甜品、煲汤;验收标准：无坏果、无干瘪、香甜无异味</t>
  </si>
  <si>
    <t>腌鸡</t>
  </si>
  <si>
    <t>腌制入味、肉质紧实，咸香适中无霉点;适用场景：蒸制、炖汤、红烧;验收标准：无霉变、无异味、新鲜无变质</t>
  </si>
  <si>
    <t>2斤半</t>
  </si>
  <si>
    <t>报腌菜</t>
  </si>
  <si>
    <t>色泽鲜绿、咸酸适口，发酵香纯正无腐烂;适用场景：炒菜、佐餐、配菜;验收标准：无霉变、无异味</t>
  </si>
  <si>
    <t>广式腊肉</t>
  </si>
  <si>
    <t>肥瘦分层、色泽金黄，腊香醇厚咸香不腻;适用场景：蒸制、炖菜、炒菜提香;验收标准：无霉点、无哈喇味、肉质紧实</t>
  </si>
  <si>
    <t>无核红枣</t>
  </si>
  <si>
    <t>鸭血</t>
  </si>
  <si>
    <t>300g/盒</t>
  </si>
  <si>
    <t>色泽暗红、质地细腻，无杂质气泡，鲜嫩爽滑;适用场景：火锅、麻辣烫、煲汤、炒菜;验收标准：无变质、无发酸、完整不碎</t>
  </si>
  <si>
    <t>薏米仁</t>
  </si>
  <si>
    <t>颗粒饱满、长椭圆形、色乳白，无碎粒虫蛀哈喇味;适用场景：煲汤、煮粥、祛湿养生;验收标准：颗粒完整、干燥无异味</t>
  </si>
  <si>
    <t>色泽洁白、细而不断，晶莹透亮久煮不糊;适用场景：凉拌、火锅、汤粉、蒸菜;验收标准：干燥无霉、无异味、韧性强</t>
  </si>
  <si>
    <t>龙口</t>
  </si>
  <si>
    <t>桂圆干</t>
  </si>
  <si>
    <t>果形饱满、外壳完整，果肉厚实甜润;适用场景：煲汤、泡茶、甜品、零食;验收标准：干燥无霉、果肉饱满、无坏果</t>
  </si>
  <si>
    <t>广式香肠</t>
  </si>
  <si>
    <t>肥瘦均匀、色泽红润，咸甜适口、腊香浓郁，无霉点哈喇味;适用场景：蒸制、炒菜、煲仔饭;验收标准：无霉变、无变质、腊香纯正</t>
  </si>
  <si>
    <t>豇豆干</t>
  </si>
  <si>
    <t>色泽黄褐、干燥紧实，无杂质霉变;适用场景：炖肉、炒菜、煲汤;验收标准：干燥无潮、无霉点、无碎条</t>
  </si>
  <si>
    <t>艾草</t>
  </si>
  <si>
    <t>叶片鲜嫩、色青绿，无烂叶泥沙虫蛀，香气浓;适用场景：青团、煲汤、炒菜、养生;验收标准：新鲜无变质、无老根</t>
  </si>
  <si>
    <t>250g/包</t>
  </si>
  <si>
    <t>荞麦粉</t>
  </si>
  <si>
    <t>粉质细腻、浅褐色，无结块杂质霉变，荞麦香清新;适用场景：面食、糕点、杂粮主食;验收标准：干燥细腻、无受潮、无异味</t>
  </si>
  <si>
    <t>黑米粉</t>
  </si>
  <si>
    <t>粉质细腻均匀、深黑无结块杂质，纯黑米研磨无添加;适用场景：冲饮、烘焙、面食、煮粥;验收标准：细度达标、干燥松散、无哈喇味</t>
  </si>
  <si>
    <t>潮州酸菜</t>
  </si>
  <si>
    <t>色泽鲜黄、咸酸适口，发酵纯正无霉味;适用场景：酸菜鱼、炒菜、佐餐;验收标准：无霉变、无异味</t>
  </si>
  <si>
    <t>12枚/盒</t>
  </si>
  <si>
    <t>诸暨年糕</t>
  </si>
  <si>
    <t>质地软糯劲道、色泽洁白，纯糯米制作无酸味;适用场景：炒、煮、煎、火锅、煲汤;验收标准：无发酸、无开裂、弹性好</t>
  </si>
  <si>
    <t>广式腊肠</t>
  </si>
  <si>
    <t>肉质紧实、色泽红亮，肥瘦相间、咸甜适中;适用场景：蒸、炒、焖饭、配菜;验收标准：干燥无霉、无哈喇味、弹性好</t>
  </si>
  <si>
    <t>白鲞</t>
  </si>
  <si>
    <t>腌制风干海鱼干制品；验收标准：干燥均匀、无霉点、无虫蛀，肉质紧实，咸度适中，无哈喇味、无异味、无泥沙</t>
  </si>
  <si>
    <t>0.5斤左右</t>
  </si>
  <si>
    <t>蒓菜</t>
  </si>
  <si>
    <t>水生野菜，口感滑嫩；验收标准：叶片鲜嫩、无腐烂、无泥沙、无黄叶，无异味、无霉变，无病虫害，含水率正常</t>
  </si>
  <si>
    <t>香菜粉</t>
  </si>
  <si>
    <t>香菜干燥研磨粉末；验收标准：粉末细腻均匀，色泽正常，香菜香气浓郁，无结块、无霉变、无杂质、无异味</t>
  </si>
  <si>
    <t>黑橄榄</t>
  </si>
  <si>
    <t>腌制 / 盐渍黑橄榄，肉质紧实；验收标准：果形完整、无破损、无霉斑，咸淡适中，无酸败、无异味，无虫蛀、无泥沙杂质</t>
  </si>
  <si>
    <t>米面网</t>
  </si>
  <si>
    <t>米面制成的网状干货 / 半成品；验收标准：形态规整、无断裂、无霉变、无哈喇味，色泽正常，无异味、无虫蛀、无油污杂质</t>
  </si>
  <si>
    <t>酸黄瓜</t>
  </si>
  <si>
    <t>腌制黄瓜，酸甜爽脆；验收标准：瓜条完整、色泽正常，口感脆嫩，无软烂、无霉变、无异味，汤汁清澈无浑浊</t>
  </si>
  <si>
    <t>阳江豆豉</t>
  </si>
  <si>
    <t>广东阳江特产发酵豆制品，酱香浓郁；验收标准：颗粒均匀、色泽黑亮，酱香纯正，无酸败、无霉变、无杂质，含水率正常，无异味</t>
  </si>
  <si>
    <t>麦芽糖</t>
  </si>
  <si>
    <t>糖类制品，色泽淡黄、黏稠；验收标准：色泽透亮、无杂质，气味纯正，无酸味、无焦糊味，无霉变、无异物，黏稠度正常</t>
  </si>
  <si>
    <t>直径粗一点</t>
  </si>
  <si>
    <t>3两5/个</t>
  </si>
  <si>
    <t>直径10cm以上</t>
  </si>
  <si>
    <t>线椒</t>
  </si>
  <si>
    <t>果形细长、色鲜绿，辣味适中无腐烂;适用场景：炒菜、调味、配菜;验收标准：新鲜坚实、无烂果</t>
  </si>
  <si>
    <t>4cm左右</t>
  </si>
  <si>
    <t>芹菜</t>
  </si>
  <si>
    <t>菜梗鲜嫩、色翠绿，无老筋烂叶杂质;适用场景：清炒、凉拌、煲汤;验收标准：新鲜无老根、无空心</t>
  </si>
  <si>
    <t>直径5cm</t>
  </si>
  <si>
    <t>腊笋</t>
  </si>
  <si>
    <t>笋干干燥、色黄褐，泡发脆嫩鲜香;适用场景：炖肉、炒菜、煲汤;验收标准：干燥无霉、无异味、无碎条</t>
  </si>
  <si>
    <t>直径3cm</t>
  </si>
  <si>
    <t>苋菜</t>
  </si>
  <si>
    <t>叶片鲜嫩、色红绿，无烂叶黄叶泥沙;适用场景：清炒、煮汤;验收标准：新鲜无老根、无破损</t>
  </si>
  <si>
    <t>油麦菜</t>
  </si>
  <si>
    <t>叶片鲜嫩、色鲜绿，无烂叶黄叶泥沙;适用场景：清炒、凉拌、火锅;验收标准：新鲜无老根、无破损</t>
  </si>
  <si>
    <t>青大蒜</t>
  </si>
  <si>
    <t>蒜梗鲜嫩、色青绿，无烂叶空心异味;适用场景：调味、炒菜、凉拌;验收标准：新鲜坚实、无干瘪</t>
  </si>
  <si>
    <t>老藕</t>
  </si>
  <si>
    <t>15-20cm/个</t>
  </si>
  <si>
    <t>木耳菜</t>
  </si>
  <si>
    <t>叶片鲜嫩、色油绿，无烂叶黄叶泥沙;适用场景：清炒、煮汤;验收标准：新鲜无老根、无破损</t>
  </si>
  <si>
    <t>直径2cm</t>
  </si>
  <si>
    <t>空心菜</t>
  </si>
  <si>
    <t>叶片鲜嫩、色鲜绿，无烂叶黄叶泥沙;适用场景：清炒、煮汤;验收标准：新鲜无老根、无破损</t>
  </si>
  <si>
    <t>芋艿</t>
  </si>
  <si>
    <t>个头均匀、表皮光滑，肉质洁白粉糯;适用场景：蒸煮、炖菜、红烧、甜品;验收标准：新鲜无变质、无空心</t>
  </si>
  <si>
    <t>香菇（干）</t>
  </si>
  <si>
    <t>蚕豆</t>
  </si>
  <si>
    <t>颗粒饱满、色鲜绿，无虫蛀干瘪腐烂;适用场景：炒、炖、煲汤、清蒸;验收标准：新鲜饱满、无虫眼</t>
  </si>
  <si>
    <t>水芹菜</t>
  </si>
  <si>
    <t>菜梗纤细、色鲜绿，无老根烂叶泥沙;适用场景：清炒、凉拌;验收标准：新鲜无变质、无老筋</t>
  </si>
  <si>
    <t>蒜台</t>
  </si>
  <si>
    <t>蒜苔粗壮、色青绿，无老根腐烂空心;适用场景：清炒、爆炒;验收标准：新鲜无干瘪、无破损</t>
  </si>
  <si>
    <t>新鲜香菇</t>
  </si>
  <si>
    <t>菌盖完整、色棕褐，肉质厚实无泥沙;适用场景：炒、炖、火锅、煲汤;验收标准：新鲜无虫蛀、无破损</t>
  </si>
  <si>
    <t>四季豆</t>
  </si>
  <si>
    <t>豆荚鲜嫩、色翠绿，无老筋虫蛀腐烂;适用场景：清炒、焖煮;验收标准：新鲜无老豆、无破损</t>
  </si>
  <si>
    <t>黄花菜</t>
  </si>
  <si>
    <t>新鲜鲜嫩、色金黄，无腐烂杂质异味;适用场景：炒菜、煲汤、凉拌;验收标准：新鲜无变质、无烂花</t>
  </si>
  <si>
    <t>干海带</t>
  </si>
  <si>
    <t>叶宽厚整、色褐绿，干燥无泥沙霉变;适用场景：煲汤、火锅、凉拌、炖菜;验收标准：干燥无沙、无霉点、无破损</t>
  </si>
  <si>
    <t>扁豆</t>
  </si>
  <si>
    <t>甜豆荚</t>
  </si>
  <si>
    <t>豆荚鲜嫩、色翠绿，无老筋虫蛀;适用场景：清炒、凉拌、涮煮;验收标准：新鲜无老豆、无破损</t>
  </si>
  <si>
    <t>豆瓣</t>
  </si>
  <si>
    <t>颗粒饱满、色鲜绿，无杂质虫蛀腐烂;适用场景：炒菜、煲汤、炖肉;验收标准：新鲜无变质、无干瘪</t>
  </si>
  <si>
    <t>苦瓜</t>
  </si>
  <si>
    <t>果形端正、表皮青绿，肉质厚实微苦清爽;适用场景：清炒、凉拌、煲汤;验收标准：新鲜坚实、无软烂</t>
  </si>
  <si>
    <t>毛豆</t>
  </si>
  <si>
    <t>豆荚饱满、色青绿，无虫蛀干瘪;适用场景：水煮、炒菜、红烧;验收标准：新鲜饱满、无虫眼</t>
  </si>
  <si>
    <t>2两</t>
  </si>
  <si>
    <t>莲蓬</t>
  </si>
  <si>
    <t>果实饱满、新鲜完整，莲子鲜嫩;适用场景：生食、煲汤、甜品;验收标准：新鲜无变质、颗粒饱满</t>
  </si>
  <si>
    <t>粽叶</t>
  </si>
  <si>
    <t>叶片完整、色青绿，清香浓郁无破损;适用场景：包粽子、蒸制去腥、摆盘;验收标准：干燥完整、清香无霉</t>
  </si>
  <si>
    <t>小尖椒</t>
  </si>
  <si>
    <t>剥皮</t>
  </si>
  <si>
    <t>150g/盒</t>
  </si>
  <si>
    <t>大芥蓝</t>
  </si>
  <si>
    <t>菜梗粗壮、叶片鲜嫩，色翠绿无烂叶空心;适用场景：清炒、白灼;验收标准：新鲜无老根、无破损</t>
  </si>
  <si>
    <t>直径8cm左右</t>
  </si>
  <si>
    <t>蟹味菇</t>
  </si>
  <si>
    <t>菌盖完整、菌柄洁白，肉质厚实无泥沙;适用场景：炒、炖、火锅、煲汤;验收标准：新鲜无变质、无杂质</t>
  </si>
  <si>
    <t>八角丝瓜</t>
  </si>
  <si>
    <t>果形端正、表皮翠绿，肉质细嫩无老筋;适用场景：清炒、炖汤、煲汤;验收标准：新鲜坚实、无老皮</t>
  </si>
  <si>
    <t>小芥蓝</t>
  </si>
  <si>
    <t>个头小巧、菜梗鲜嫩，色翠绿无虫蛀空心;适用场景：清炒、白灼;验收标准：新鲜无老根、无破损</t>
  </si>
  <si>
    <t>直径4cm左右</t>
  </si>
  <si>
    <t>大蒜头</t>
  </si>
  <si>
    <t>颗粒饱满、表皮洁白，无发芽干瘪腐烂;适用场景：调味、炒菜、腌制;验收标准：新鲜无变质、无干瘪</t>
  </si>
  <si>
    <t>干竹荪</t>
  </si>
  <si>
    <t>黄瓜仔</t>
  </si>
  <si>
    <t>个头小巧、表皮翠绿带刺，肉质脆嫩;适用场景：凉拌、腌制、生吃;验收标准：新鲜坚实、无老皮</t>
  </si>
  <si>
    <t>色泽鲜绿、咸香适口，无腐烂异味杂质；适合腌制炒菜佐餐；验收：无霉变异味。</t>
  </si>
  <si>
    <t>乌饭叶</t>
  </si>
  <si>
    <t>南烛叶，用于制作乌米饭，天然染色植物；验收标准：叶片新鲜、无枯萎、无虫蛀、无霉变，色泽正常，无异味，杂质少</t>
  </si>
  <si>
    <t>25g左右/个</t>
  </si>
  <si>
    <t>草鱼</t>
  </si>
  <si>
    <t>鱼体健壮、鲜活，肉质紧实无病变;适用场景：红烧、清蒸、水煮鱼;验收标准：鲜活无病、无破损</t>
  </si>
  <si>
    <t>1kg左右/条</t>
  </si>
  <si>
    <t>包头鱼</t>
  </si>
  <si>
    <t>鱼体完整、鲜活，鳞片齐全肉质白嫩;适用场景：炖汤、红烧、剁椒鱼头;验收标准：鲜活无病、无破损</t>
  </si>
  <si>
    <t>3斤半左右</t>
  </si>
  <si>
    <t>鳊鱼</t>
  </si>
  <si>
    <t>鱼体完整、鲜活，鳞片齐全肉质细嫩;适用场景：清蒸、红烧、炖汤;验收标准：鲜活无病、无破损</t>
  </si>
  <si>
    <t>8两-1斤/条</t>
  </si>
  <si>
    <t>小梭子蟹</t>
  </si>
  <si>
    <t>蟹体完整、鲜活，肉质饱满无空壳;适用场景：清蒸、爆炒;验收标准：鲜活无死蟹、无破损</t>
  </si>
  <si>
    <t>2.5-3两</t>
  </si>
  <si>
    <t>直径2cm左右</t>
  </si>
  <si>
    <t>4两左右</t>
  </si>
  <si>
    <t>甲鱼</t>
  </si>
  <si>
    <t>个体完整、鲜活有力，肉质紧实滋补;适用场景：炖汤、红烧、养生煲;验收标准：鲜活无病、无破损</t>
  </si>
  <si>
    <t>牛蛙</t>
  </si>
  <si>
    <t>个体鲜活、肉质紧实，无异味病变;适用场景：爆炒、红烧、火锅;验收标准：鲜活无病、无变质</t>
  </si>
  <si>
    <t>湖蟹</t>
  </si>
  <si>
    <t>鲜活有力、壳硬饱满，蟹黄蟹膏充足;适用场景：清蒸、爆炒;验收标准：鲜活无死蟹、无破损</t>
  </si>
  <si>
    <t>2两半</t>
  </si>
  <si>
    <t>大湖蟹</t>
  </si>
  <si>
    <t>4两以上</t>
  </si>
  <si>
    <t>1斤2两一条</t>
  </si>
  <si>
    <t>小龙虾</t>
  </si>
  <si>
    <t>鲜活有力、壳硬饱满，肉质紧实;适用场景：麻辣、爆炒、清蒸;验收标准：鲜活无死虾、无破损</t>
  </si>
  <si>
    <t>花蛤</t>
  </si>
  <si>
    <t>贝壳完整、鲜活吐沙，肉质饱满无泥沙;适用场景：爆炒、清蒸、煲汤;验收标准：鲜活无死壳、无沙</t>
  </si>
  <si>
    <t>3两/条</t>
  </si>
  <si>
    <t>蛏子</t>
  </si>
  <si>
    <t>1斤半</t>
  </si>
  <si>
    <t>小黑鱼</t>
  </si>
  <si>
    <t>鱼体完整、鲜活，肉质紧实细嫩;适用场景：酸菜鱼、红烧;验收标准：鲜活无病、无破损</t>
  </si>
  <si>
    <t>1斤半/条</t>
  </si>
  <si>
    <t>桂鱼</t>
  </si>
  <si>
    <t>鱼体完整、鲜活，肉质细嫩鲜美;适用场景：清蒸、红烧、炖汤;验收标准：鲜活无病、无破损</t>
  </si>
  <si>
    <t>1.5斤左右</t>
  </si>
  <si>
    <t>鲫鱼</t>
  </si>
  <si>
    <t>鱼体完整、鲜活，肉质细嫩鲜甜;适用场景：炖汤、红烧、清蒸;验收标准：鲜活无病、无破损</t>
  </si>
  <si>
    <t>冷冻大对虾</t>
  </si>
  <si>
    <t>虾体硕大完整、冷冻新鲜，肉质紧实;适用场景：白灼、油焖、清蒸;验收标准：无变质、无异味、完整无缺</t>
  </si>
  <si>
    <t>90g左右/个</t>
  </si>
  <si>
    <t>基围虾</t>
  </si>
  <si>
    <t>虾体鲜活、壳亮紧实，肉质鲜甜无断头;适用场景：白灼、油焖、火锅、爆炒;验收标准：鲜活无变质、无断头</t>
  </si>
  <si>
    <t>虾体鲜活、壳亮紧实，肉质鲜甜肥美;适用场景：白灼、油焖、火锅;验收标准：鲜活无变质、无断头</t>
  </si>
  <si>
    <t>八爪鱼</t>
  </si>
  <si>
    <t>个体完整、鲜活有力，体表光滑无异味;适用场景：爆炒、白灼、火锅、红烧;验收标准：鲜活无变质、无异味</t>
  </si>
  <si>
    <t>肋鲞</t>
  </si>
  <si>
    <t>鱼干完整、干燥紧实，色黄亮无霉味;适用场景：蒸制、炖菜、煲汤提鲜;验收标准：干燥无变质、无异味</t>
  </si>
  <si>
    <t>7两/条</t>
  </si>
  <si>
    <t>河蚌</t>
  </si>
  <si>
    <t>贝壳完整、鲜活，肉质厚实无泥沙;适用场景：爆炒、炖汤、红烧;验收标准：鲜活无死蚌、无沙</t>
  </si>
  <si>
    <t>螺蛳</t>
  </si>
  <si>
    <t>鲜活吐沙、外壳完整，无死螺泥沙;适用场景：爆炒、炖汤;验收标准：鲜活无死螺、无沙</t>
  </si>
  <si>
    <t>大黑鱼</t>
  </si>
  <si>
    <t>鱼体完整、鲜活有力，肉质紧实细嫩;适用场景：酸菜鱼、红烧、煲汤;验收标准：鲜活无病、无破损</t>
  </si>
  <si>
    <t>2斤半以上/条</t>
  </si>
  <si>
    <t>1斤半以上/条</t>
  </si>
  <si>
    <t>大梭子蟹</t>
  </si>
  <si>
    <t>蟹体硕大、鲜活有力，壳硬饱满肉质鲜甜;适用场景：清蒸、爆炒、红烧;验收标准：鲜活无死蟹、肉质饱满</t>
  </si>
  <si>
    <t>1斤/只</t>
  </si>
  <si>
    <t>田螺</t>
  </si>
  <si>
    <t>鲜活完整、外壳干净，无死螺泥沙;适用场景：爆炒、炖汤;验收标准：鲜活无死螺、无沙</t>
  </si>
  <si>
    <t>1斤以上/条</t>
  </si>
  <si>
    <t>墨鱼</t>
  </si>
  <si>
    <t>鱼体完整、新鲜，肉质厚实脆嫩;适用场景：爆炒、红烧、火锅;验收标准：新鲜无变质、无异味</t>
  </si>
  <si>
    <t>多宝鱼</t>
  </si>
  <si>
    <t>鱼体扁平完整、鲜活，肉质细嫩鲜甜;适用场景：清蒸、红烧;验收标准：鲜活无病、无破损</t>
  </si>
  <si>
    <t>1斤半左右/条</t>
  </si>
  <si>
    <t>三指带鱼</t>
  </si>
  <si>
    <t>鱼体均匀、新鲜光亮，肉质紧实;适用场景：红烧、香煎;验收标准：新鲜无变质、无异味</t>
  </si>
  <si>
    <t>北极贝（盒）</t>
  </si>
  <si>
    <t>盒装洁净、肉质鲜红，切片完整无杂质;适用场景：即食、刺身、凉拌、火锅;验收标准：新鲜无变质、无异味、洁净</t>
  </si>
  <si>
    <t>鱿鱼仔</t>
  </si>
  <si>
    <t>个体小巧完整、新鲜，肉质脆嫩;适用场景：爆炒、红烧、火锅、零食;验收标准：新鲜无变质、无破损</t>
  </si>
  <si>
    <t>17g左右/个</t>
  </si>
  <si>
    <t>石斑鱼</t>
  </si>
  <si>
    <t>鱼体完整、鲜活，肉质细嫩鲜甜;适用场景：清蒸、红烧;验收标准：鲜活无病、无破损</t>
  </si>
  <si>
    <t>1斤2两-1斤半</t>
  </si>
  <si>
    <t>香螺</t>
  </si>
  <si>
    <t>贝壳完整、鲜活，肉质饱满无泥沙;适用场景：白灼、爆炒;验收标准：鲜活无死螺、无沙</t>
  </si>
  <si>
    <t>目鱼仔</t>
  </si>
  <si>
    <t>个体小巧完整、新鲜，肉质脆嫩;适用场景：爆炒、红烧、火锅、煲汤;验收标准：新鲜无变质、无破损</t>
  </si>
  <si>
    <t>鲳鱼</t>
  </si>
  <si>
    <t>鱼体扁平完整、鲜活，肉质细嫩鲜甜;适用场景：清蒸、红烧、香煎;验收标准：鲜活无病、无破损</t>
  </si>
  <si>
    <t>3两-4两/条</t>
  </si>
  <si>
    <t>白虾</t>
  </si>
  <si>
    <t>淡水 / 海水虾类，壳薄肉嫩；验收标准：虾体完整、虾须齐全，壳亮有光泽，肉质紧实，无黑头、无异味、无变质，鲜活无死亡过多</t>
  </si>
  <si>
    <t>12.5g左右/个</t>
  </si>
  <si>
    <t>米黄鱼</t>
  </si>
  <si>
    <t>海产鱼类，肉质细嫩；验收标准：鱼体完整、鳞片光亮，眼球饱满，鳃鲜红，肉质有弹性，无异味、无淤血、无变质</t>
  </si>
  <si>
    <t>鱼体柔软完整、新鲜，肉质嫩滑如豆腐;适用场景：红烧、炖汤、清蒸;验收标准：新鲜无变质、无异味</t>
  </si>
  <si>
    <t>35g左右/条</t>
  </si>
  <si>
    <t>带鱼</t>
  </si>
  <si>
    <t>鱼体完整、新鲜光亮，肉质紧实无异味;适用场景：红烧、香煎、清蒸;验收标准：新鲜无变质、无异味</t>
  </si>
  <si>
    <t>开洋</t>
  </si>
  <si>
    <t>虾干完整、色金黄，干燥无沙杂质;适用场景：煲汤、炒菜、调味提鲜;验收标准：干燥无哈喇味、无沙</t>
  </si>
  <si>
    <t>太阳鱼</t>
  </si>
  <si>
    <t>淡水养殖鱼，肉质细嫩；验收标准：鱼体匀称、鳞片完整，眼球清亮，鳃鲜红，无异味、无充血、无烂身，鲜活或冻品无解冻变质</t>
  </si>
  <si>
    <t>3两半/条</t>
  </si>
  <si>
    <t>鲍鱼</t>
  </si>
  <si>
    <t>贝类海珍品，肉质肥厚；验收标准：鲜活或冻品个体完整，肉质紧实有弹性，无异味、无破损、无化水变质，无泥沙杂质</t>
  </si>
  <si>
    <t>62.5g左右/个</t>
  </si>
  <si>
    <t>盒装薄荷叶</t>
  </si>
  <si>
    <t>叶片鲜嫩完整、色鲜绿，清凉香气浓;适用场景：调味、饮品、沙拉、摆盘;验收标准：新鲜无变质、香气纯正</t>
  </si>
  <si>
    <t>整体高度：30–45 cm
植株冠幅（散开宽度）：25–40 cm
花盆口径：15–20 cm（常用一加仑盆 / 塑料盆）</t>
  </si>
  <si>
    <t>整体高度（含盆）：30–40 cm
冠幅（植株宽度）：25–35 cm
花盆口径：15–20 cm（加仑盆 / 陶瓷盆）</t>
  </si>
  <si>
    <t>产品名称</t>
  </si>
  <si>
    <t>年度预计采购数量</t>
  </si>
  <si>
    <t>食堂备注</t>
  </si>
  <si>
    <t>配餐备注</t>
  </si>
  <si>
    <t>杂项-腌制品</t>
  </si>
  <si>
    <t>冬腌菜</t>
  </si>
  <si>
    <t>条</t>
  </si>
  <si>
    <t>2kg/条</t>
  </si>
  <si>
    <t>袋</t>
  </si>
  <si>
    <t>10个/袋</t>
  </si>
  <si>
    <t>200g/盒</t>
  </si>
  <si>
    <t>2斤半/左右</t>
  </si>
  <si>
    <t>杂项-香辛料</t>
  </si>
  <si>
    <t>杂项-干货</t>
  </si>
  <si>
    <t>芸豆</t>
  </si>
  <si>
    <t>金钱菇（干）</t>
  </si>
  <si>
    <t>羊肚菌（干）</t>
  </si>
  <si>
    <t>水产类-鱼类</t>
  </si>
  <si>
    <t>水产类-虾蟹类</t>
  </si>
  <si>
    <t>明虾（白对虾）</t>
  </si>
  <si>
    <t>东星斑</t>
  </si>
  <si>
    <t>东星斑，作为石斑鱼中的顶级“颜值担当”，以其全身通红、密布白色星点的华丽外观和象征鸿运当头的吉祥寓意著称；它肉质雪白如霜、绝无肌间小刺，口感兼具极致的鲜甜与脆弹，鱼皮富含珍贵的胶原蛋白，呈现出果冻般的晶莹质感</t>
  </si>
  <si>
    <t>河虾</t>
  </si>
  <si>
    <t xml:space="preserve">河虾，堪称淡水虾界的“鲜甜精灵”，以其青灰透明、光滑流线的外壳和两只标志性的细长螯钳为外观特征，肉质极其细嫩弹牙，自带一股纯净清新的水生甘甜；它富含钙质与镁元素，且脂肪含量极低。
</t>
  </si>
  <si>
    <t>青蟹</t>
  </si>
  <si>
    <t xml:space="preserve">青蟹，素有“蟹中之王”的美誉，以其青绿泛蓝的坚硬背壳和两只强壮威武的螯钳为标志，是肉质最为饱满紧实的蟹类之一；其精髓在于那橙红金黄、丰腴流油的膏黄与洁白如玉、鲜甜弹牙的蟹肉，口感兼具海蟹的鲜与湖蟹的糯，风味浓郁醇厚
</t>
  </si>
  <si>
    <t>面包蟹</t>
  </si>
  <si>
    <t xml:space="preserve">面包蟹，俗称“棕蟹”，是深海赐予的“行走的黄油仓库”，以其圆鼓鼓、坚硬如盔甲的红褐色外壳和短小精悍的蟹腿著称；它最令人发指的卖点在于膏满黄肥，橙红流金的蟹黄几乎占据整个腹腔，口感如咸蛋黄般绵密醇厚，而肉质虽不如其他蟹类细嫩，却胜在扎实甘甜、带有独特的坚果香气
</t>
  </si>
  <si>
    <t>水产类-头足类</t>
  </si>
  <si>
    <t>海蜇头</t>
  </si>
  <si>
    <t xml:space="preserve">海蜇头，取自海蜇生物体中最为精华厚实的“头部”（即伞盖顶部），以其厚实饱满的红褐色肉块和清晰的纹理脉络而著称；它富含人体所需的胶原蛋白与多种矿物质，且处于极低的热量区间，是追求口感层次与健康饮食的完美平衡点。
</t>
  </si>
  <si>
    <t>水产类-其他水产</t>
  </si>
  <si>
    <t>水产类-贝类</t>
  </si>
  <si>
    <t>北极贝</t>
  </si>
  <si>
    <t>7cm</t>
  </si>
  <si>
    <t>生蚝</t>
  </si>
  <si>
    <t>生蚝，以其厚重粗糙的深色外壳包裹着极度鲜嫩、丰盈肥美的乳白色蚝肉；
作为天然锌元素的宝库，生蚝不仅富含优质蛋白与牛磺酸，更兼具低热量特性，无论是佐以柠檬汁刺身级生食，还是搭配蒜蓉炭烤，都是极致鲜美与营养滋补的双重享受。</t>
  </si>
  <si>
    <t>120g/个</t>
  </si>
  <si>
    <t>淡菜</t>
  </si>
  <si>
    <t xml:space="preserve">新鲜淡菜，即鲜活贻贝，以其深褐色泛蓝黑色光泽的楔形外壳和橙黄色饱满多汁的肉质著称；它拥有极致的海洋鲜甜与软嫩弹牙的双重口感，
</t>
  </si>
  <si>
    <t>圆白菜</t>
  </si>
  <si>
    <t>蔬菜类-叶菜类</t>
  </si>
  <si>
    <t>又名卷心菜，甘蓝结球紧实、叶片鲜嫩、色泽翠绿，无烂叶虫蛀空心；口感脆嫩，适合炒、凉拌、火锅；验收：新鲜、无烂叶紧实。</t>
  </si>
  <si>
    <t>苦菊</t>
  </si>
  <si>
    <t>油菜</t>
  </si>
  <si>
    <r>
      <rPr>
        <sz val="11"/>
        <color theme="1"/>
        <rFont val="宋体"/>
        <charset val="134"/>
        <scheme val="minor"/>
      </rPr>
      <t>又名</t>
    </r>
    <r>
      <rPr>
        <b/>
        <sz val="11"/>
        <color theme="1"/>
        <rFont val="宋体"/>
        <charset val="134"/>
        <scheme val="minor"/>
      </rPr>
      <t>青菜</t>
    </r>
    <r>
      <rPr>
        <sz val="11"/>
        <color theme="1"/>
        <rFont val="宋体"/>
        <charset val="134"/>
        <scheme val="minor"/>
      </rPr>
      <t>，叶片鲜嫩、色泽鲜绿，无烂叶黄叶泥沙虫蛀；口感嫩滑，适合炒汤；验收：新鲜、无老根。</t>
    </r>
  </si>
  <si>
    <t>10g/盒</t>
  </si>
  <si>
    <t>苋菜（白/红）</t>
  </si>
  <si>
    <t>芝麻菜</t>
  </si>
  <si>
    <t>芝麻菜是一种风味独特的绿叶蔬菜，以其深裂的羽状叶片和浓郁的芝麻坚果香气著称；口感脆嫩爽口，带有一种类似黑胡椒的辛辣刺激味。</t>
  </si>
  <si>
    <t>奶油生菜</t>
  </si>
  <si>
    <t>奶油生菜以其宽大、呈波浪状的翠绿叶片和如奶油般柔滑细腻的口感著称；它完全摒弃了普通生菜的粗糙纤维感，汁水丰盈且味道甘甜清淡，几乎不带苦味，既能完美衬托酱汁的风味，又富含维生素A、C及叶酸。</t>
  </si>
  <si>
    <t>紫苏</t>
  </si>
  <si>
    <t xml:space="preserve">紫苏是一种自带独特异香的草本植物，以其一面深紫、一面翠绿的斑斓叶片和特有的麝香与薄荷复合气息而著称，口感微辛回甘，且富含丰富的矿物质与抗氧化成分，是连接风味与健康的桥梁型食材。
</t>
  </si>
  <si>
    <t>草头</t>
  </si>
  <si>
    <t xml:space="preserve">草头，又名金花菜或南苜蓿，以其三片小巧圆润的心形小叶为特征，口感柔嫩多汁、清新微甜；富含极高的叶绿素与植物蛋白含量。
</t>
  </si>
  <si>
    <t>韭菜花</t>
  </si>
  <si>
    <t xml:space="preserve">韭菜花，即韭菜抽薹后顶端绽放的白色花簇，以其细嫩的茎秆和未完全绽放的花苞为精华所在，口感兼具韭香与清甜，脆嫩爽口而无老韭的纤维感；
</t>
  </si>
  <si>
    <t>羽衣甘蓝</t>
  </si>
  <si>
    <t xml:space="preserve">羽衣甘蓝，被誉为蔬菜界的“超级食物”，以其边缘深裂、叶片卷曲如裙摆的独特造型和墨绿色泽独树一帜；它口感清脆爽口，带有浓郁的草本清香与一丝微苦回甘，富含极高浓度的维生素K、维生素A、维生素C及抗氧化物质。
</t>
  </si>
  <si>
    <t>蔬菜类-水生蔬菜类</t>
  </si>
  <si>
    <t>500g/包</t>
  </si>
  <si>
    <t>蔬菜类-菌菇类</t>
  </si>
  <si>
    <t>花菇</t>
  </si>
  <si>
    <t>口蘑</t>
  </si>
  <si>
    <t>香菇（新鲜）</t>
  </si>
  <si>
    <t>去蒂</t>
  </si>
  <si>
    <t>平菇</t>
  </si>
  <si>
    <t>平菇，俗称“蚝菇”，以其优雅的贝壳状或扇状菌盖和柔软肥厚的肉质著称，口感鲜嫩爽滑、带有淡淡的坚果与海鲜般的鲜甜余韵；
富含优质植物蛋白与独特的β-葡聚糖，是兼具低脂高纤特性与增强免疫功能的餐桌常客。</t>
  </si>
  <si>
    <t>蔬菜类-瓜茄类</t>
  </si>
  <si>
    <t>红圆椒</t>
  </si>
  <si>
    <t>黄圆椒</t>
  </si>
  <si>
    <t>金丝南瓜</t>
  </si>
  <si>
    <t>又名老南瓜，果形端正、表皮金黄、肉质粉糯香甜，无腐烂虫蛀空心；适合蒸煮甜品煲汤；验收：新鲜、坚实。</t>
  </si>
  <si>
    <t>番茄</t>
  </si>
  <si>
    <t>西葫芦</t>
  </si>
  <si>
    <t>青圆椒</t>
  </si>
  <si>
    <t xml:space="preserve">青圆椒，俗称灯笼椒或柿子椒，以其方正饱满的果形、极光滑的蜡质表皮和脆嫩多汁的肉质著称，最大的特点是只有清甜毫无辣味，完美避开了刺激感；更富含维生素C和抗氧化剂，是减脂餐中提升风味与颜值的高性价比健康食材。
</t>
  </si>
  <si>
    <t>大红尖椒</t>
  </si>
  <si>
    <t xml:space="preserve">大红尖椒是辣味菜系中的“色彩担当”与“味觉引擎”，以其修长紧致的身形、光亮深红的果皮和厚实脆嫩的肉质著称；它在提供鲜明灼热的辛辣口感的同时，还带有一丝成熟的果味甜香
</t>
  </si>
  <si>
    <t>蔬菜类-根茎类</t>
  </si>
  <si>
    <t>黄秋葵</t>
  </si>
  <si>
    <t>小黄姜</t>
  </si>
  <si>
    <t>小黄姜是姜中精品，以外形紧凑、表皮淡黄、肉质金黄为特征，姜辣素与挥发油含量远高于普通大姜，辛辣醇厚、纤维细腻、去腥提鲜效果极佳，兼具极高药用与食用价值；</t>
  </si>
  <si>
    <t>黄洋葱</t>
  </si>
  <si>
    <t>黄洋葱是厨房里的“百搭调味基石”，以其标志性的金黄色球状鳞茎和紧密的层层包裹结构著称；经过加热后，其强烈的辛辣感转化为浑厚甘甜的焦糖风味，它富含槲皮素与膳食纤维。</t>
  </si>
  <si>
    <t>甜菜</t>
  </si>
  <si>
    <t>甜菜，又称红菜头，以其深紫红色、如宝石般致密的球状根茎而独树一帜，口感脆嫩扎实，自带一种独特的泥土芬芳与醇厚的高葡萄糖甜味；同时富含硝酸盐与膳食纤维，是支持心血管健康与运动表现的超级食物。</t>
  </si>
  <si>
    <t>嫩姜</t>
  </si>
  <si>
    <t xml:space="preserve">嫩姜，俗称“姜芽”或“子姜”，是生姜生长周期中采收最早的阶段，以其玉白色半透明的表皮和胖乎乎的短指状外形为特征，口感极端脆嫩、汁水丰盈，且辛辣味极淡、带有清爽的甜味
</t>
  </si>
  <si>
    <t>红葱头</t>
  </si>
  <si>
    <t xml:space="preserve">红葱头是葱属家族中独具风味的“香气精灵”，以其深紫红色、层层紧抱的球形鳞茎为标志，口感比普通大葱更为爽脆，味道辛辣中带着丝丝回甘；
</t>
  </si>
  <si>
    <t>蔬菜类-豆类及豆制品</t>
  </si>
  <si>
    <t>豇豆</t>
  </si>
  <si>
    <t>蔬菜类-调味类</t>
  </si>
  <si>
    <t>白果</t>
  </si>
  <si>
    <t>蒜苔</t>
  </si>
  <si>
    <t>乌饭叶（南烛）</t>
  </si>
  <si>
    <t>香茅（新鲜）</t>
  </si>
  <si>
    <t>根茎粗壮紧实，茎秆修长完整，色泽青绿自然，表层干爽无霉点、无腐烂、无发黑黄叶；质地脆嫩，纤维紧实，无空心、无老化木质化；气味清香浓郁，自带天然柠檬香气，无酸味、无异味、无香精刺鼻味。</t>
  </si>
  <si>
    <t>小米椒</t>
  </si>
  <si>
    <t>杭式香肠</t>
  </si>
  <si>
    <t>选用优质猪后腿精肉，经传统工艺腌制、烘烤而成。色泽枣红油润，腊香纯正，咸甜平衡，口感紧实有嚼劲。参考万隆香肠品质</t>
  </si>
  <si>
    <t>陈皮</t>
  </si>
  <si>
    <t>芸香科柑橘成熟果皮，经晒干与三年以上陈化而成。外表面橙红棕褐，密布油室；内表面黄白，质脆易折。香气醇厚，味辛微苦，能理气健脾、增香去腥。</t>
  </si>
  <si>
    <t>瑶柱（新鲜）</t>
  </si>
  <si>
    <t>鲜活扇贝现剥的闭壳肌，呈半透白玉状，肉质饱满弹牙。鲜味清甜，海味纯正，适合清炒、蒸制或刺身，保留海洋原生鲜味。</t>
  </si>
  <si>
    <t>瑶柱（干）</t>
  </si>
  <si>
    <t>新鲜瑶柱经日晒干燥制成，又称干贝，属 “海八珍”。色泽金黄油润，粒形饱满，鲜味高度浓缩。蛋白质含量极高，常用于煲汤、煮粥、烩菜，提鲜效果显著。</t>
  </si>
  <si>
    <t>黄豆粉</t>
  </si>
  <si>
    <t>优质黄豆经烘焙、超微粉碎而成的细腻粉末。色泽淡黄，豆香浓郁，富含植物蛋白与膳食纤维。可作甜品辅料、烘焙原料或蘸料，风味质朴营养。</t>
  </si>
  <si>
    <t>求和项:数量</t>
  </si>
  <si>
    <t>参考品牌</t>
  </si>
  <si>
    <t>参考规格</t>
  </si>
  <si>
    <t>白味干</t>
  </si>
  <si>
    <t>豆制品</t>
  </si>
  <si>
    <t>祖名或同等品质</t>
  </si>
  <si>
    <t>1*1kg</t>
  </si>
  <si>
    <t>薄千张</t>
  </si>
  <si>
    <t>1*2kg</t>
  </si>
  <si>
    <t>臭豆腐（大盒）</t>
  </si>
  <si>
    <t>1*2200g</t>
  </si>
  <si>
    <t>臭豆腐（小盒）</t>
  </si>
  <si>
    <t>1*220g</t>
  </si>
  <si>
    <t>韧豆腐</t>
  </si>
  <si>
    <t>1*6kg</t>
  </si>
  <si>
    <t>大油方</t>
  </si>
  <si>
    <t>大油片</t>
  </si>
  <si>
    <t>豆腐干丝</t>
  </si>
  <si>
    <t>豆腐皮</t>
  </si>
  <si>
    <t>1*500g</t>
  </si>
  <si>
    <t>豆奶饮品</t>
  </si>
  <si>
    <t>250ml/袋</t>
  </si>
  <si>
    <t>红味干</t>
  </si>
  <si>
    <t>千张</t>
  </si>
  <si>
    <t>鸡蛋干</t>
  </si>
  <si>
    <t>1*120g</t>
  </si>
  <si>
    <t>老豆腐</t>
  </si>
  <si>
    <t>1*4kg</t>
  </si>
  <si>
    <t>木涟冰爽</t>
  </si>
  <si>
    <t>350g/盒</t>
  </si>
  <si>
    <t>千张结</t>
  </si>
  <si>
    <t>散装大油面筋</t>
  </si>
  <si>
    <t>1*5kg</t>
  </si>
  <si>
    <t>水面筋（小）</t>
  </si>
  <si>
    <t>素干丝</t>
  </si>
  <si>
    <t>素烧鹅</t>
  </si>
  <si>
    <t>1*110g</t>
  </si>
  <si>
    <t>甜酒酿</t>
  </si>
  <si>
    <t>碗</t>
  </si>
  <si>
    <t>1*400g</t>
  </si>
  <si>
    <t>小素鸡（大包）</t>
  </si>
  <si>
    <t>小素鸡（小包）</t>
  </si>
  <si>
    <t>小油豆腐</t>
  </si>
  <si>
    <t>小油方</t>
  </si>
  <si>
    <t>樱玉豆腐</t>
  </si>
  <si>
    <t>支</t>
  </si>
  <si>
    <t>油豆腐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</si>
</sst>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Arial"/>
      <charset val="134"/>
    </font>
    <font>
      <sz val="10"/>
      <name val="Arial"/>
      <charset val="134"/>
    </font>
    <font>
      <b/>
      <sz val="16"/>
      <color theme="1"/>
      <name val="宋体"/>
      <charset val="134"/>
    </font>
    <font>
      <sz val="16"/>
      <name val="宋体"/>
      <charset val="134"/>
    </font>
    <font>
      <sz val="11"/>
      <color theme="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" fillId="0" borderId="0"/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2" fillId="0" borderId="2" xfId="49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1" xfId="49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3" borderId="1" xfId="0" applyFill="1" applyBorder="1" applyAlignment="1">
      <alignment vertical="center"/>
    </xf>
    <xf numFmtId="0" fontId="3" fillId="0" borderId="0" xfId="49" applyAlignment="1">
      <alignment vertical="center"/>
    </xf>
    <xf numFmtId="0" fontId="2" fillId="0" borderId="0" xfId="49" applyFont="1" applyAlignment="1">
      <alignment vertical="center"/>
    </xf>
    <xf numFmtId="0" fontId="3" fillId="0" borderId="0" xfId="49" applyAlignment="1">
      <alignment vertical="center" wrapText="1"/>
    </xf>
    <xf numFmtId="0" fontId="4" fillId="4" borderId="1" xfId="49" applyNumberFormat="1" applyFont="1" applyFill="1" applyBorder="1" applyAlignment="1">
      <alignment vertical="center"/>
    </xf>
    <xf numFmtId="0" fontId="4" fillId="4" borderId="1" xfId="49" applyNumberFormat="1" applyFont="1" applyFill="1" applyBorder="1" applyAlignment="1">
      <alignment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vertical="center"/>
    </xf>
    <xf numFmtId="0" fontId="2" fillId="0" borderId="1" xfId="49" applyFont="1" applyFill="1" applyBorder="1" applyAlignment="1">
      <alignment vertical="center"/>
    </xf>
    <xf numFmtId="0" fontId="5" fillId="0" borderId="1" xfId="49" applyFont="1" applyFill="1" applyBorder="1" applyAlignment="1">
      <alignment vertical="center"/>
    </xf>
    <xf numFmtId="0" fontId="5" fillId="0" borderId="1" xfId="49" applyFont="1" applyBorder="1" applyAlignment="1">
      <alignment vertical="center" wrapText="1"/>
    </xf>
    <xf numFmtId="0" fontId="5" fillId="5" borderId="1" xfId="49" applyFont="1" applyFill="1" applyBorder="1" applyAlignment="1">
      <alignment vertical="center"/>
    </xf>
    <xf numFmtId="0" fontId="5" fillId="5" borderId="1" xfId="49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6" borderId="1" xfId="49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0" borderId="1" xfId="49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49" applyFont="1" applyBorder="1"/>
    <xf numFmtId="0" fontId="0" fillId="7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14.png"/><Relationship Id="rId98" Type="http://schemas.openxmlformats.org/officeDocument/2006/relationships/image" Target="media/image113.png"/><Relationship Id="rId97" Type="http://schemas.openxmlformats.org/officeDocument/2006/relationships/image" Target="media/image112.png"/><Relationship Id="rId96" Type="http://schemas.openxmlformats.org/officeDocument/2006/relationships/image" Target="media/image111.png"/><Relationship Id="rId95" Type="http://schemas.openxmlformats.org/officeDocument/2006/relationships/image" Target="media/image110.png"/><Relationship Id="rId94" Type="http://schemas.openxmlformats.org/officeDocument/2006/relationships/image" Target="media/image109.png"/><Relationship Id="rId93" Type="http://schemas.openxmlformats.org/officeDocument/2006/relationships/image" Target="media/image108.png"/><Relationship Id="rId92" Type="http://schemas.openxmlformats.org/officeDocument/2006/relationships/image" Target="media/image107.png"/><Relationship Id="rId91" Type="http://schemas.openxmlformats.org/officeDocument/2006/relationships/image" Target="media/image106.png"/><Relationship Id="rId90" Type="http://schemas.openxmlformats.org/officeDocument/2006/relationships/image" Target="media/image105.png"/><Relationship Id="rId9" Type="http://schemas.openxmlformats.org/officeDocument/2006/relationships/image" Target="media/image24.png"/><Relationship Id="rId89" Type="http://schemas.openxmlformats.org/officeDocument/2006/relationships/image" Target="media/image104.png"/><Relationship Id="rId88" Type="http://schemas.openxmlformats.org/officeDocument/2006/relationships/image" Target="media/image103.png"/><Relationship Id="rId87" Type="http://schemas.openxmlformats.org/officeDocument/2006/relationships/image" Target="media/image102.png"/><Relationship Id="rId86" Type="http://schemas.openxmlformats.org/officeDocument/2006/relationships/image" Target="media/image101.png"/><Relationship Id="rId85" Type="http://schemas.openxmlformats.org/officeDocument/2006/relationships/image" Target="media/image100.png"/><Relationship Id="rId84" Type="http://schemas.openxmlformats.org/officeDocument/2006/relationships/image" Target="media/image99.png"/><Relationship Id="rId83" Type="http://schemas.openxmlformats.org/officeDocument/2006/relationships/image" Target="media/image98.png"/><Relationship Id="rId82" Type="http://schemas.openxmlformats.org/officeDocument/2006/relationships/image" Target="media/image97.png"/><Relationship Id="rId81" Type="http://schemas.openxmlformats.org/officeDocument/2006/relationships/image" Target="media/image96.png"/><Relationship Id="rId80" Type="http://schemas.openxmlformats.org/officeDocument/2006/relationships/image" Target="media/image95.png"/><Relationship Id="rId8" Type="http://schemas.openxmlformats.org/officeDocument/2006/relationships/image" Target="media/image23.png"/><Relationship Id="rId79" Type="http://schemas.openxmlformats.org/officeDocument/2006/relationships/image" Target="media/image94.png"/><Relationship Id="rId78" Type="http://schemas.openxmlformats.org/officeDocument/2006/relationships/image" Target="media/image93.png"/><Relationship Id="rId77" Type="http://schemas.openxmlformats.org/officeDocument/2006/relationships/image" Target="media/image92.png"/><Relationship Id="rId76" Type="http://schemas.openxmlformats.org/officeDocument/2006/relationships/image" Target="media/image91.png"/><Relationship Id="rId75" Type="http://schemas.openxmlformats.org/officeDocument/2006/relationships/image" Target="media/image90.png"/><Relationship Id="rId74" Type="http://schemas.openxmlformats.org/officeDocument/2006/relationships/image" Target="media/image89.png"/><Relationship Id="rId73" Type="http://schemas.openxmlformats.org/officeDocument/2006/relationships/image" Target="media/image88.png"/><Relationship Id="rId72" Type="http://schemas.openxmlformats.org/officeDocument/2006/relationships/image" Target="media/image87.png"/><Relationship Id="rId71" Type="http://schemas.openxmlformats.org/officeDocument/2006/relationships/image" Target="media/image86.png"/><Relationship Id="rId70" Type="http://schemas.openxmlformats.org/officeDocument/2006/relationships/image" Target="media/image85.png"/><Relationship Id="rId7" Type="http://schemas.openxmlformats.org/officeDocument/2006/relationships/image" Target="media/image22.png"/><Relationship Id="rId69" Type="http://schemas.openxmlformats.org/officeDocument/2006/relationships/image" Target="media/image84.png"/><Relationship Id="rId68" Type="http://schemas.openxmlformats.org/officeDocument/2006/relationships/image" Target="media/image83.png"/><Relationship Id="rId67" Type="http://schemas.openxmlformats.org/officeDocument/2006/relationships/image" Target="media/image82.png"/><Relationship Id="rId66" Type="http://schemas.openxmlformats.org/officeDocument/2006/relationships/image" Target="media/image81.png"/><Relationship Id="rId65" Type="http://schemas.openxmlformats.org/officeDocument/2006/relationships/image" Target="media/image80.png"/><Relationship Id="rId64" Type="http://schemas.openxmlformats.org/officeDocument/2006/relationships/image" Target="media/image79.png"/><Relationship Id="rId63" Type="http://schemas.openxmlformats.org/officeDocument/2006/relationships/image" Target="media/image78.png"/><Relationship Id="rId62" Type="http://schemas.openxmlformats.org/officeDocument/2006/relationships/image" Target="media/image77.png"/><Relationship Id="rId61" Type="http://schemas.openxmlformats.org/officeDocument/2006/relationships/image" Target="media/image76.png"/><Relationship Id="rId60" Type="http://schemas.openxmlformats.org/officeDocument/2006/relationships/image" Target="media/image75.png"/><Relationship Id="rId6" Type="http://schemas.openxmlformats.org/officeDocument/2006/relationships/image" Target="media/image21.png"/><Relationship Id="rId59" Type="http://schemas.openxmlformats.org/officeDocument/2006/relationships/image" Target="media/image74.png"/><Relationship Id="rId58" Type="http://schemas.openxmlformats.org/officeDocument/2006/relationships/image" Target="media/image73.png"/><Relationship Id="rId57" Type="http://schemas.openxmlformats.org/officeDocument/2006/relationships/image" Target="media/image72.png"/><Relationship Id="rId56" Type="http://schemas.openxmlformats.org/officeDocument/2006/relationships/image" Target="media/image71.png"/><Relationship Id="rId55" Type="http://schemas.openxmlformats.org/officeDocument/2006/relationships/image" Target="media/image70.png"/><Relationship Id="rId54" Type="http://schemas.openxmlformats.org/officeDocument/2006/relationships/image" Target="media/image69.png"/><Relationship Id="rId53" Type="http://schemas.openxmlformats.org/officeDocument/2006/relationships/image" Target="media/image68.png"/><Relationship Id="rId52" Type="http://schemas.openxmlformats.org/officeDocument/2006/relationships/image" Target="media/image67.png"/><Relationship Id="rId51" Type="http://schemas.openxmlformats.org/officeDocument/2006/relationships/image" Target="media/image66.png"/><Relationship Id="rId50" Type="http://schemas.openxmlformats.org/officeDocument/2006/relationships/image" Target="media/image65.png"/><Relationship Id="rId5" Type="http://schemas.openxmlformats.org/officeDocument/2006/relationships/image" Target="media/image20.png"/><Relationship Id="rId49" Type="http://schemas.openxmlformats.org/officeDocument/2006/relationships/image" Target="media/image64.png"/><Relationship Id="rId48" Type="http://schemas.openxmlformats.org/officeDocument/2006/relationships/image" Target="media/image63.png"/><Relationship Id="rId47" Type="http://schemas.openxmlformats.org/officeDocument/2006/relationships/image" Target="media/image62.png"/><Relationship Id="rId46" Type="http://schemas.openxmlformats.org/officeDocument/2006/relationships/image" Target="media/image61.png"/><Relationship Id="rId45" Type="http://schemas.openxmlformats.org/officeDocument/2006/relationships/image" Target="media/image60.png"/><Relationship Id="rId44" Type="http://schemas.openxmlformats.org/officeDocument/2006/relationships/image" Target="media/image59.png"/><Relationship Id="rId43" Type="http://schemas.openxmlformats.org/officeDocument/2006/relationships/image" Target="media/image58.png"/><Relationship Id="rId42" Type="http://schemas.openxmlformats.org/officeDocument/2006/relationships/image" Target="media/image57.png"/><Relationship Id="rId410" Type="http://schemas.openxmlformats.org/officeDocument/2006/relationships/image" Target="media/image409.png"/><Relationship Id="rId41" Type="http://schemas.openxmlformats.org/officeDocument/2006/relationships/image" Target="media/image56.png"/><Relationship Id="rId409" Type="http://schemas.openxmlformats.org/officeDocument/2006/relationships/image" Target="media/image408.jpeg"/><Relationship Id="rId408" Type="http://schemas.openxmlformats.org/officeDocument/2006/relationships/image" Target="media/image407.jpeg"/><Relationship Id="rId407" Type="http://schemas.openxmlformats.org/officeDocument/2006/relationships/image" Target="media/image406.png"/><Relationship Id="rId406" Type="http://schemas.openxmlformats.org/officeDocument/2006/relationships/image" Target="media/image405.png"/><Relationship Id="rId405" Type="http://schemas.openxmlformats.org/officeDocument/2006/relationships/image" Target="media/image404.jpeg"/><Relationship Id="rId404" Type="http://schemas.openxmlformats.org/officeDocument/2006/relationships/image" Target="media/image403.png"/><Relationship Id="rId403" Type="http://schemas.openxmlformats.org/officeDocument/2006/relationships/image" Target="media/image402.jpeg"/><Relationship Id="rId402" Type="http://schemas.openxmlformats.org/officeDocument/2006/relationships/image" Target="media/image401.jpeg"/><Relationship Id="rId401" Type="http://schemas.openxmlformats.org/officeDocument/2006/relationships/image" Target="media/image400.png"/><Relationship Id="rId400" Type="http://schemas.openxmlformats.org/officeDocument/2006/relationships/image" Target="media/image399.jpeg"/><Relationship Id="rId40" Type="http://schemas.openxmlformats.org/officeDocument/2006/relationships/image" Target="media/image55.png"/><Relationship Id="rId4" Type="http://schemas.openxmlformats.org/officeDocument/2006/relationships/image" Target="media/image19.png"/><Relationship Id="rId399" Type="http://schemas.openxmlformats.org/officeDocument/2006/relationships/image" Target="media/image398.jpeg"/><Relationship Id="rId398" Type="http://schemas.openxmlformats.org/officeDocument/2006/relationships/image" Target="media/image397.jpeg"/><Relationship Id="rId397" Type="http://schemas.openxmlformats.org/officeDocument/2006/relationships/image" Target="media/image396.jpeg"/><Relationship Id="rId396" Type="http://schemas.openxmlformats.org/officeDocument/2006/relationships/image" Target="media/image395.jpeg"/><Relationship Id="rId395" Type="http://schemas.openxmlformats.org/officeDocument/2006/relationships/image" Target="media/image394.jpeg"/><Relationship Id="rId394" Type="http://schemas.openxmlformats.org/officeDocument/2006/relationships/image" Target="media/image393.jpeg"/><Relationship Id="rId393" Type="http://schemas.openxmlformats.org/officeDocument/2006/relationships/image" Target="media/image392.jpeg"/><Relationship Id="rId392" Type="http://schemas.openxmlformats.org/officeDocument/2006/relationships/image" Target="media/image391.jpeg"/><Relationship Id="rId391" Type="http://schemas.openxmlformats.org/officeDocument/2006/relationships/image" Target="media/image390.jpeg"/><Relationship Id="rId390" Type="http://schemas.openxmlformats.org/officeDocument/2006/relationships/image" Target="media/image389.jpeg"/><Relationship Id="rId39" Type="http://schemas.openxmlformats.org/officeDocument/2006/relationships/image" Target="media/image54.png"/><Relationship Id="rId389" Type="http://schemas.openxmlformats.org/officeDocument/2006/relationships/image" Target="media/image388.jpeg"/><Relationship Id="rId388" Type="http://schemas.openxmlformats.org/officeDocument/2006/relationships/image" Target="media/image387.jpeg"/><Relationship Id="rId387" Type="http://schemas.openxmlformats.org/officeDocument/2006/relationships/image" Target="media/image386.jpeg"/><Relationship Id="rId386" Type="http://schemas.openxmlformats.org/officeDocument/2006/relationships/image" Target="media/image385.png"/><Relationship Id="rId385" Type="http://schemas.openxmlformats.org/officeDocument/2006/relationships/image" Target="media/image384.jpeg"/><Relationship Id="rId384" Type="http://schemas.openxmlformats.org/officeDocument/2006/relationships/image" Target="media/image383.jpeg"/><Relationship Id="rId383" Type="http://schemas.openxmlformats.org/officeDocument/2006/relationships/image" Target="media/image382.png"/><Relationship Id="rId382" Type="http://schemas.openxmlformats.org/officeDocument/2006/relationships/image" Target="media/image381.png"/><Relationship Id="rId381" Type="http://schemas.openxmlformats.org/officeDocument/2006/relationships/image" Target="media/image380.png"/><Relationship Id="rId380" Type="http://schemas.openxmlformats.org/officeDocument/2006/relationships/image" Target="media/image379.png"/><Relationship Id="rId38" Type="http://schemas.openxmlformats.org/officeDocument/2006/relationships/image" Target="media/image53.png"/><Relationship Id="rId379" Type="http://schemas.openxmlformats.org/officeDocument/2006/relationships/image" Target="media/image378.png"/><Relationship Id="rId378" Type="http://schemas.openxmlformats.org/officeDocument/2006/relationships/image" Target="media/image377.png"/><Relationship Id="rId377" Type="http://schemas.openxmlformats.org/officeDocument/2006/relationships/image" Target="media/image376.png"/><Relationship Id="rId376" Type="http://schemas.openxmlformats.org/officeDocument/2006/relationships/image" Target="media/image375.png"/><Relationship Id="rId375" Type="http://schemas.openxmlformats.org/officeDocument/2006/relationships/image" Target="media/image374.png"/><Relationship Id="rId374" Type="http://schemas.openxmlformats.org/officeDocument/2006/relationships/image" Target="media/image373.png"/><Relationship Id="rId373" Type="http://schemas.openxmlformats.org/officeDocument/2006/relationships/image" Target="media/image372.png"/><Relationship Id="rId372" Type="http://schemas.openxmlformats.org/officeDocument/2006/relationships/image" Target="media/image371.png"/><Relationship Id="rId371" Type="http://schemas.openxmlformats.org/officeDocument/2006/relationships/image" Target="media/image370.png"/><Relationship Id="rId370" Type="http://schemas.openxmlformats.org/officeDocument/2006/relationships/image" Target="media/image369.png"/><Relationship Id="rId37" Type="http://schemas.openxmlformats.org/officeDocument/2006/relationships/image" Target="media/image52.png"/><Relationship Id="rId369" Type="http://schemas.openxmlformats.org/officeDocument/2006/relationships/image" Target="media/image368.png"/><Relationship Id="rId368" Type="http://schemas.openxmlformats.org/officeDocument/2006/relationships/image" Target="media/image367.png"/><Relationship Id="rId367" Type="http://schemas.openxmlformats.org/officeDocument/2006/relationships/image" Target="media/image366.png"/><Relationship Id="rId366" Type="http://schemas.openxmlformats.org/officeDocument/2006/relationships/image" Target="media/image365.png"/><Relationship Id="rId365" Type="http://schemas.openxmlformats.org/officeDocument/2006/relationships/image" Target="media/image364.png"/><Relationship Id="rId364" Type="http://schemas.openxmlformats.org/officeDocument/2006/relationships/image" Target="media/image363.png"/><Relationship Id="rId363" Type="http://schemas.openxmlformats.org/officeDocument/2006/relationships/image" Target="media/image362.png"/><Relationship Id="rId362" Type="http://schemas.openxmlformats.org/officeDocument/2006/relationships/image" Target="media/image361.png"/><Relationship Id="rId361" Type="http://schemas.openxmlformats.org/officeDocument/2006/relationships/image" Target="media/image360.png"/><Relationship Id="rId360" Type="http://schemas.openxmlformats.org/officeDocument/2006/relationships/image" Target="media/image359.png"/><Relationship Id="rId36" Type="http://schemas.openxmlformats.org/officeDocument/2006/relationships/image" Target="media/image51.png"/><Relationship Id="rId359" Type="http://schemas.openxmlformats.org/officeDocument/2006/relationships/image" Target="media/image358.png"/><Relationship Id="rId358" Type="http://schemas.openxmlformats.org/officeDocument/2006/relationships/image" Target="media/image357.png"/><Relationship Id="rId357" Type="http://schemas.openxmlformats.org/officeDocument/2006/relationships/image" Target="media/image356.png"/><Relationship Id="rId356" Type="http://schemas.openxmlformats.org/officeDocument/2006/relationships/image" Target="media/image355.png"/><Relationship Id="rId355" Type="http://schemas.openxmlformats.org/officeDocument/2006/relationships/image" Target="media/image354.png"/><Relationship Id="rId354" Type="http://schemas.openxmlformats.org/officeDocument/2006/relationships/image" Target="media/image353.png"/><Relationship Id="rId353" Type="http://schemas.openxmlformats.org/officeDocument/2006/relationships/image" Target="media/image352.png"/><Relationship Id="rId352" Type="http://schemas.openxmlformats.org/officeDocument/2006/relationships/image" Target="media/image351.png"/><Relationship Id="rId351" Type="http://schemas.openxmlformats.org/officeDocument/2006/relationships/image" Target="media/image350.png"/><Relationship Id="rId350" Type="http://schemas.openxmlformats.org/officeDocument/2006/relationships/image" Target="media/image349.png"/><Relationship Id="rId35" Type="http://schemas.openxmlformats.org/officeDocument/2006/relationships/image" Target="media/image50.png"/><Relationship Id="rId349" Type="http://schemas.openxmlformats.org/officeDocument/2006/relationships/image" Target="media/image348.png"/><Relationship Id="rId348" Type="http://schemas.openxmlformats.org/officeDocument/2006/relationships/image" Target="media/image347.png"/><Relationship Id="rId347" Type="http://schemas.openxmlformats.org/officeDocument/2006/relationships/image" Target="media/image346.png"/><Relationship Id="rId346" Type="http://schemas.openxmlformats.org/officeDocument/2006/relationships/image" Target="media/image345.png"/><Relationship Id="rId345" Type="http://schemas.openxmlformats.org/officeDocument/2006/relationships/image" Target="media/image344.png"/><Relationship Id="rId344" Type="http://schemas.openxmlformats.org/officeDocument/2006/relationships/image" Target="media/image343.png"/><Relationship Id="rId343" Type="http://schemas.openxmlformats.org/officeDocument/2006/relationships/image" Target="media/image342.png"/><Relationship Id="rId342" Type="http://schemas.openxmlformats.org/officeDocument/2006/relationships/image" Target="media/image341.png"/><Relationship Id="rId341" Type="http://schemas.openxmlformats.org/officeDocument/2006/relationships/image" Target="media/image8.png"/><Relationship Id="rId340" Type="http://schemas.openxmlformats.org/officeDocument/2006/relationships/image" Target="media/image10.png"/><Relationship Id="rId34" Type="http://schemas.openxmlformats.org/officeDocument/2006/relationships/image" Target="media/image49.png"/><Relationship Id="rId339" Type="http://schemas.openxmlformats.org/officeDocument/2006/relationships/image" Target="media/image5.png"/><Relationship Id="rId338" Type="http://schemas.openxmlformats.org/officeDocument/2006/relationships/image" Target="media/image7.png"/><Relationship Id="rId337" Type="http://schemas.openxmlformats.org/officeDocument/2006/relationships/image" Target="media/image6.png"/><Relationship Id="rId336" Type="http://schemas.openxmlformats.org/officeDocument/2006/relationships/image" Target="media/image12.jpeg"/><Relationship Id="rId335" Type="http://schemas.openxmlformats.org/officeDocument/2006/relationships/image" Target="media/image11.jpeg"/><Relationship Id="rId334" Type="http://schemas.openxmlformats.org/officeDocument/2006/relationships/image" Target="media/image14.png"/><Relationship Id="rId333" Type="http://schemas.openxmlformats.org/officeDocument/2006/relationships/image" Target="media/image3.png"/><Relationship Id="rId332" Type="http://schemas.openxmlformats.org/officeDocument/2006/relationships/image" Target="media/image13.jpeg"/><Relationship Id="rId331" Type="http://schemas.openxmlformats.org/officeDocument/2006/relationships/image" Target="media/image9.png"/><Relationship Id="rId330" Type="http://schemas.openxmlformats.org/officeDocument/2006/relationships/image" Target="media/image15.jpeg"/><Relationship Id="rId33" Type="http://schemas.openxmlformats.org/officeDocument/2006/relationships/image" Target="media/image48.png"/><Relationship Id="rId329" Type="http://schemas.openxmlformats.org/officeDocument/2006/relationships/image" Target="media/image2.png"/><Relationship Id="rId328" Type="http://schemas.openxmlformats.org/officeDocument/2006/relationships/image" Target="media/image1.png"/><Relationship Id="rId327" Type="http://schemas.openxmlformats.org/officeDocument/2006/relationships/image" Target="media/image4.png"/><Relationship Id="rId326" Type="http://schemas.openxmlformats.org/officeDocument/2006/relationships/image" Target="media/image340.png"/><Relationship Id="rId325" Type="http://schemas.openxmlformats.org/officeDocument/2006/relationships/image" Target="media/image339.png"/><Relationship Id="rId324" Type="http://schemas.openxmlformats.org/officeDocument/2006/relationships/image" Target="media/image338.png"/><Relationship Id="rId323" Type="http://schemas.openxmlformats.org/officeDocument/2006/relationships/image" Target="media/image337.png"/><Relationship Id="rId322" Type="http://schemas.openxmlformats.org/officeDocument/2006/relationships/image" Target="media/image336.png"/><Relationship Id="rId321" Type="http://schemas.openxmlformats.org/officeDocument/2006/relationships/image" Target="media/image335.png"/><Relationship Id="rId320" Type="http://schemas.openxmlformats.org/officeDocument/2006/relationships/image" Target="media/image334.png"/><Relationship Id="rId32" Type="http://schemas.openxmlformats.org/officeDocument/2006/relationships/image" Target="media/image47.png"/><Relationship Id="rId319" Type="http://schemas.openxmlformats.org/officeDocument/2006/relationships/image" Target="media/image333.png"/><Relationship Id="rId318" Type="http://schemas.openxmlformats.org/officeDocument/2006/relationships/image" Target="media/image332.png"/><Relationship Id="rId317" Type="http://schemas.openxmlformats.org/officeDocument/2006/relationships/image" Target="media/image331.png"/><Relationship Id="rId316" Type="http://schemas.openxmlformats.org/officeDocument/2006/relationships/image" Target="media/image330.png"/><Relationship Id="rId315" Type="http://schemas.openxmlformats.org/officeDocument/2006/relationships/image" Target="media/image329.png"/><Relationship Id="rId314" Type="http://schemas.openxmlformats.org/officeDocument/2006/relationships/image" Target="media/image328.png"/><Relationship Id="rId313" Type="http://schemas.openxmlformats.org/officeDocument/2006/relationships/image" Target="media/image327.png"/><Relationship Id="rId312" Type="http://schemas.openxmlformats.org/officeDocument/2006/relationships/image" Target="media/image326.png"/><Relationship Id="rId311" Type="http://schemas.openxmlformats.org/officeDocument/2006/relationships/image" Target="media/image325.png"/><Relationship Id="rId310" Type="http://schemas.openxmlformats.org/officeDocument/2006/relationships/image" Target="media/image324.png"/><Relationship Id="rId31" Type="http://schemas.openxmlformats.org/officeDocument/2006/relationships/image" Target="media/image46.png"/><Relationship Id="rId309" Type="http://schemas.openxmlformats.org/officeDocument/2006/relationships/image" Target="media/image323.png"/><Relationship Id="rId308" Type="http://schemas.openxmlformats.org/officeDocument/2006/relationships/image" Target="media/image322.png"/><Relationship Id="rId307" Type="http://schemas.openxmlformats.org/officeDocument/2006/relationships/image" Target="media/image321.png"/><Relationship Id="rId306" Type="http://schemas.openxmlformats.org/officeDocument/2006/relationships/image" Target="media/image320.png"/><Relationship Id="rId305" Type="http://schemas.openxmlformats.org/officeDocument/2006/relationships/image" Target="media/image319.png"/><Relationship Id="rId304" Type="http://schemas.openxmlformats.org/officeDocument/2006/relationships/image" Target="media/image318.png"/><Relationship Id="rId303" Type="http://schemas.openxmlformats.org/officeDocument/2006/relationships/image" Target="media/image317.png"/><Relationship Id="rId302" Type="http://schemas.openxmlformats.org/officeDocument/2006/relationships/image" Target="media/image316.png"/><Relationship Id="rId301" Type="http://schemas.openxmlformats.org/officeDocument/2006/relationships/image" Target="media/image315.png"/><Relationship Id="rId300" Type="http://schemas.openxmlformats.org/officeDocument/2006/relationships/image" Target="media/image314.png"/><Relationship Id="rId30" Type="http://schemas.openxmlformats.org/officeDocument/2006/relationships/image" Target="media/image45.png"/><Relationship Id="rId3" Type="http://schemas.openxmlformats.org/officeDocument/2006/relationships/image" Target="media/image18.png"/><Relationship Id="rId299" Type="http://schemas.openxmlformats.org/officeDocument/2006/relationships/image" Target="media/image313.png"/><Relationship Id="rId298" Type="http://schemas.openxmlformats.org/officeDocument/2006/relationships/image" Target="media/image312.png"/><Relationship Id="rId297" Type="http://schemas.openxmlformats.org/officeDocument/2006/relationships/image" Target="media/image311.png"/><Relationship Id="rId296" Type="http://schemas.openxmlformats.org/officeDocument/2006/relationships/image" Target="media/image310.png"/><Relationship Id="rId295" Type="http://schemas.openxmlformats.org/officeDocument/2006/relationships/image" Target="media/image309.png"/><Relationship Id="rId294" Type="http://schemas.openxmlformats.org/officeDocument/2006/relationships/image" Target="media/image308.png"/><Relationship Id="rId293" Type="http://schemas.openxmlformats.org/officeDocument/2006/relationships/image" Target="media/image307.png"/><Relationship Id="rId292" Type="http://schemas.openxmlformats.org/officeDocument/2006/relationships/image" Target="media/image306.png"/><Relationship Id="rId291" Type="http://schemas.openxmlformats.org/officeDocument/2006/relationships/image" Target="media/image305.png"/><Relationship Id="rId290" Type="http://schemas.openxmlformats.org/officeDocument/2006/relationships/image" Target="media/image304.png"/><Relationship Id="rId29" Type="http://schemas.openxmlformats.org/officeDocument/2006/relationships/image" Target="media/image44.png"/><Relationship Id="rId289" Type="http://schemas.openxmlformats.org/officeDocument/2006/relationships/image" Target="media/image303.png"/><Relationship Id="rId288" Type="http://schemas.openxmlformats.org/officeDocument/2006/relationships/image" Target="media/image302.png"/><Relationship Id="rId287" Type="http://schemas.openxmlformats.org/officeDocument/2006/relationships/image" Target="media/image301.png"/><Relationship Id="rId286" Type="http://schemas.openxmlformats.org/officeDocument/2006/relationships/image" Target="media/image300.png"/><Relationship Id="rId285" Type="http://schemas.openxmlformats.org/officeDocument/2006/relationships/image" Target="media/image299.png"/><Relationship Id="rId284" Type="http://schemas.openxmlformats.org/officeDocument/2006/relationships/image" Target="media/image298.png"/><Relationship Id="rId283" Type="http://schemas.openxmlformats.org/officeDocument/2006/relationships/image" Target="media/image297.png"/><Relationship Id="rId282" Type="http://schemas.openxmlformats.org/officeDocument/2006/relationships/image" Target="media/image296.png"/><Relationship Id="rId281" Type="http://schemas.openxmlformats.org/officeDocument/2006/relationships/image" Target="media/image295.png"/><Relationship Id="rId280" Type="http://schemas.openxmlformats.org/officeDocument/2006/relationships/image" Target="media/image294.png"/><Relationship Id="rId28" Type="http://schemas.openxmlformats.org/officeDocument/2006/relationships/image" Target="media/image43.png"/><Relationship Id="rId279" Type="http://schemas.openxmlformats.org/officeDocument/2006/relationships/image" Target="media/image293.png"/><Relationship Id="rId278" Type="http://schemas.openxmlformats.org/officeDocument/2006/relationships/image" Target="media/image292.png"/><Relationship Id="rId277" Type="http://schemas.openxmlformats.org/officeDocument/2006/relationships/image" Target="media/image291.png"/><Relationship Id="rId276" Type="http://schemas.openxmlformats.org/officeDocument/2006/relationships/image" Target="media/image290.png"/><Relationship Id="rId275" Type="http://schemas.openxmlformats.org/officeDocument/2006/relationships/image" Target="media/image289.png"/><Relationship Id="rId274" Type="http://schemas.openxmlformats.org/officeDocument/2006/relationships/image" Target="media/image288.png"/><Relationship Id="rId273" Type="http://schemas.openxmlformats.org/officeDocument/2006/relationships/image" Target="media/image287.png"/><Relationship Id="rId272" Type="http://schemas.openxmlformats.org/officeDocument/2006/relationships/image" Target="media/image286.png"/><Relationship Id="rId271" Type="http://schemas.openxmlformats.org/officeDocument/2006/relationships/image" Target="media/image285.png"/><Relationship Id="rId270" Type="http://schemas.openxmlformats.org/officeDocument/2006/relationships/image" Target="media/image284.png"/><Relationship Id="rId27" Type="http://schemas.openxmlformats.org/officeDocument/2006/relationships/image" Target="media/image42.png"/><Relationship Id="rId269" Type="http://schemas.openxmlformats.org/officeDocument/2006/relationships/image" Target="media/image283.png"/><Relationship Id="rId268" Type="http://schemas.openxmlformats.org/officeDocument/2006/relationships/image" Target="media/image282.png"/><Relationship Id="rId267" Type="http://schemas.openxmlformats.org/officeDocument/2006/relationships/image" Target="media/image281.png"/><Relationship Id="rId266" Type="http://schemas.openxmlformats.org/officeDocument/2006/relationships/image" Target="media/image280.png"/><Relationship Id="rId265" Type="http://schemas.openxmlformats.org/officeDocument/2006/relationships/image" Target="media/image279.png"/><Relationship Id="rId264" Type="http://schemas.openxmlformats.org/officeDocument/2006/relationships/image" Target="media/image278.png"/><Relationship Id="rId263" Type="http://schemas.openxmlformats.org/officeDocument/2006/relationships/image" Target="media/image277.png"/><Relationship Id="rId262" Type="http://schemas.openxmlformats.org/officeDocument/2006/relationships/image" Target="media/image276.png"/><Relationship Id="rId261" Type="http://schemas.openxmlformats.org/officeDocument/2006/relationships/image" Target="media/image275.png"/><Relationship Id="rId260" Type="http://schemas.openxmlformats.org/officeDocument/2006/relationships/image" Target="media/image274.png"/><Relationship Id="rId26" Type="http://schemas.openxmlformats.org/officeDocument/2006/relationships/image" Target="media/image41.png"/><Relationship Id="rId259" Type="http://schemas.openxmlformats.org/officeDocument/2006/relationships/image" Target="media/image273.png"/><Relationship Id="rId258" Type="http://schemas.openxmlformats.org/officeDocument/2006/relationships/image" Target="media/image272.png"/><Relationship Id="rId257" Type="http://schemas.openxmlformats.org/officeDocument/2006/relationships/image" Target="media/image271.png"/><Relationship Id="rId256" Type="http://schemas.openxmlformats.org/officeDocument/2006/relationships/image" Target="media/image270.png"/><Relationship Id="rId255" Type="http://schemas.openxmlformats.org/officeDocument/2006/relationships/image" Target="media/image269.png"/><Relationship Id="rId254" Type="http://schemas.openxmlformats.org/officeDocument/2006/relationships/image" Target="media/image268.png"/><Relationship Id="rId253" Type="http://schemas.openxmlformats.org/officeDocument/2006/relationships/image" Target="media/image267.png"/><Relationship Id="rId252" Type="http://schemas.openxmlformats.org/officeDocument/2006/relationships/image" Target="media/image266.png"/><Relationship Id="rId251" Type="http://schemas.openxmlformats.org/officeDocument/2006/relationships/image" Target="media/image265.png"/><Relationship Id="rId250" Type="http://schemas.openxmlformats.org/officeDocument/2006/relationships/image" Target="media/image264.jpeg"/><Relationship Id="rId25" Type="http://schemas.openxmlformats.org/officeDocument/2006/relationships/image" Target="media/image40.png"/><Relationship Id="rId249" Type="http://schemas.openxmlformats.org/officeDocument/2006/relationships/image" Target="media/image263.jpeg"/><Relationship Id="rId248" Type="http://schemas.openxmlformats.org/officeDocument/2006/relationships/image" Target="media/image262.jpeg"/><Relationship Id="rId247" Type="http://schemas.openxmlformats.org/officeDocument/2006/relationships/image" Target="media/image261.png"/><Relationship Id="rId246" Type="http://schemas.openxmlformats.org/officeDocument/2006/relationships/image" Target="media/image260.jpeg"/><Relationship Id="rId245" Type="http://schemas.openxmlformats.org/officeDocument/2006/relationships/image" Target="media/image259.jpeg"/><Relationship Id="rId244" Type="http://schemas.openxmlformats.org/officeDocument/2006/relationships/image" Target="media/image258.jpeg"/><Relationship Id="rId243" Type="http://schemas.openxmlformats.org/officeDocument/2006/relationships/image" Target="media/image257.png"/><Relationship Id="rId242" Type="http://schemas.openxmlformats.org/officeDocument/2006/relationships/image" Target="media/image256.jpeg"/><Relationship Id="rId241" Type="http://schemas.openxmlformats.org/officeDocument/2006/relationships/image" Target="media/image255.jpeg"/><Relationship Id="rId240" Type="http://schemas.openxmlformats.org/officeDocument/2006/relationships/image" Target="media/image254.png"/><Relationship Id="rId24" Type="http://schemas.openxmlformats.org/officeDocument/2006/relationships/image" Target="media/image39.png"/><Relationship Id="rId239" Type="http://schemas.openxmlformats.org/officeDocument/2006/relationships/image" Target="media/image253.jpeg"/><Relationship Id="rId238" Type="http://schemas.openxmlformats.org/officeDocument/2006/relationships/image" Target="media/image252.png"/><Relationship Id="rId237" Type="http://schemas.openxmlformats.org/officeDocument/2006/relationships/image" Target="media/image251.png"/><Relationship Id="rId236" Type="http://schemas.openxmlformats.org/officeDocument/2006/relationships/image" Target="media/image250.png"/><Relationship Id="rId235" Type="http://schemas.openxmlformats.org/officeDocument/2006/relationships/image" Target="media/image249.png"/><Relationship Id="rId234" Type="http://schemas.openxmlformats.org/officeDocument/2006/relationships/image" Target="media/image248.png"/><Relationship Id="rId233" Type="http://schemas.openxmlformats.org/officeDocument/2006/relationships/image" Target="media/image247.jpeg"/><Relationship Id="rId232" Type="http://schemas.openxmlformats.org/officeDocument/2006/relationships/image" Target="media/image246.png"/><Relationship Id="rId231" Type="http://schemas.openxmlformats.org/officeDocument/2006/relationships/image" Target="media/image245.png"/><Relationship Id="rId230" Type="http://schemas.openxmlformats.org/officeDocument/2006/relationships/image" Target="media/image244.png"/><Relationship Id="rId23" Type="http://schemas.openxmlformats.org/officeDocument/2006/relationships/image" Target="media/image38.png"/><Relationship Id="rId229" Type="http://schemas.openxmlformats.org/officeDocument/2006/relationships/image" Target="media/image243.png"/><Relationship Id="rId228" Type="http://schemas.openxmlformats.org/officeDocument/2006/relationships/image" Target="media/image242.png"/><Relationship Id="rId227" Type="http://schemas.openxmlformats.org/officeDocument/2006/relationships/image" Target="media/image241.png"/><Relationship Id="rId226" Type="http://schemas.openxmlformats.org/officeDocument/2006/relationships/image" Target="media/image240.png"/><Relationship Id="rId225" Type="http://schemas.openxmlformats.org/officeDocument/2006/relationships/image" Target="media/image239.png"/><Relationship Id="rId224" Type="http://schemas.openxmlformats.org/officeDocument/2006/relationships/image" Target="media/image238.png"/><Relationship Id="rId223" Type="http://schemas.openxmlformats.org/officeDocument/2006/relationships/image" Target="media/image237.png"/><Relationship Id="rId222" Type="http://schemas.openxmlformats.org/officeDocument/2006/relationships/image" Target="media/image236.png"/><Relationship Id="rId221" Type="http://schemas.openxmlformats.org/officeDocument/2006/relationships/image" Target="media/image235.png"/><Relationship Id="rId220" Type="http://schemas.openxmlformats.org/officeDocument/2006/relationships/image" Target="media/image234.png"/><Relationship Id="rId22" Type="http://schemas.openxmlformats.org/officeDocument/2006/relationships/image" Target="media/image37.png"/><Relationship Id="rId219" Type="http://schemas.openxmlformats.org/officeDocument/2006/relationships/image" Target="media/image233.png"/><Relationship Id="rId218" Type="http://schemas.openxmlformats.org/officeDocument/2006/relationships/image" Target="media/image232.png"/><Relationship Id="rId217" Type="http://schemas.openxmlformats.org/officeDocument/2006/relationships/image" Target="media/image231.png"/><Relationship Id="rId216" Type="http://schemas.openxmlformats.org/officeDocument/2006/relationships/image" Target="media/image230.png"/><Relationship Id="rId215" Type="http://schemas.openxmlformats.org/officeDocument/2006/relationships/image" Target="media/image229.png"/><Relationship Id="rId214" Type="http://schemas.openxmlformats.org/officeDocument/2006/relationships/image" Target="media/image228.png"/><Relationship Id="rId213" Type="http://schemas.openxmlformats.org/officeDocument/2006/relationships/image" Target="media/image227.png"/><Relationship Id="rId212" Type="http://schemas.openxmlformats.org/officeDocument/2006/relationships/image" Target="media/image226.png"/><Relationship Id="rId211" Type="http://schemas.openxmlformats.org/officeDocument/2006/relationships/image" Target="media/image225.png"/><Relationship Id="rId210" Type="http://schemas.openxmlformats.org/officeDocument/2006/relationships/image" Target="media/image224.png"/><Relationship Id="rId21" Type="http://schemas.openxmlformats.org/officeDocument/2006/relationships/image" Target="media/image36.png"/><Relationship Id="rId209" Type="http://schemas.openxmlformats.org/officeDocument/2006/relationships/image" Target="media/image223.png"/><Relationship Id="rId208" Type="http://schemas.openxmlformats.org/officeDocument/2006/relationships/image" Target="media/image222.png"/><Relationship Id="rId207" Type="http://schemas.openxmlformats.org/officeDocument/2006/relationships/image" Target="media/image221.png"/><Relationship Id="rId206" Type="http://schemas.openxmlformats.org/officeDocument/2006/relationships/image" Target="media/image220.png"/><Relationship Id="rId205" Type="http://schemas.openxmlformats.org/officeDocument/2006/relationships/image" Target="media/image219.png"/><Relationship Id="rId204" Type="http://schemas.openxmlformats.org/officeDocument/2006/relationships/image" Target="media/image218.png"/><Relationship Id="rId203" Type="http://schemas.openxmlformats.org/officeDocument/2006/relationships/image" Target="media/image217.jpeg"/><Relationship Id="rId202" Type="http://schemas.openxmlformats.org/officeDocument/2006/relationships/image" Target="media/image216.png"/><Relationship Id="rId201" Type="http://schemas.openxmlformats.org/officeDocument/2006/relationships/image" Target="media/image215.png"/><Relationship Id="rId200" Type="http://schemas.openxmlformats.org/officeDocument/2006/relationships/image" Target="media/image214.png"/><Relationship Id="rId20" Type="http://schemas.openxmlformats.org/officeDocument/2006/relationships/image" Target="media/image35.png"/><Relationship Id="rId2" Type="http://schemas.openxmlformats.org/officeDocument/2006/relationships/image" Target="media/image17.png"/><Relationship Id="rId199" Type="http://schemas.openxmlformats.org/officeDocument/2006/relationships/image" Target="media/image213.png"/><Relationship Id="rId198" Type="http://schemas.openxmlformats.org/officeDocument/2006/relationships/image" Target="media/image212.png"/><Relationship Id="rId197" Type="http://schemas.openxmlformats.org/officeDocument/2006/relationships/image" Target="media/image211.png"/><Relationship Id="rId196" Type="http://schemas.openxmlformats.org/officeDocument/2006/relationships/image" Target="media/image210.png"/><Relationship Id="rId195" Type="http://schemas.openxmlformats.org/officeDocument/2006/relationships/image" Target="media/image209.png"/><Relationship Id="rId194" Type="http://schemas.openxmlformats.org/officeDocument/2006/relationships/image" Target="media/image208.png"/><Relationship Id="rId193" Type="http://schemas.openxmlformats.org/officeDocument/2006/relationships/image" Target="media/image207.png"/><Relationship Id="rId192" Type="http://schemas.openxmlformats.org/officeDocument/2006/relationships/image" Target="media/image206.png"/><Relationship Id="rId191" Type="http://schemas.openxmlformats.org/officeDocument/2006/relationships/image" Target="media/image205.png"/><Relationship Id="rId190" Type="http://schemas.openxmlformats.org/officeDocument/2006/relationships/image" Target="media/image204.png"/><Relationship Id="rId19" Type="http://schemas.openxmlformats.org/officeDocument/2006/relationships/image" Target="media/image34.png"/><Relationship Id="rId189" Type="http://schemas.openxmlformats.org/officeDocument/2006/relationships/image" Target="media/image203.png"/><Relationship Id="rId188" Type="http://schemas.openxmlformats.org/officeDocument/2006/relationships/image" Target="media/image202.png"/><Relationship Id="rId187" Type="http://schemas.openxmlformats.org/officeDocument/2006/relationships/image" Target="media/image201.png"/><Relationship Id="rId186" Type="http://schemas.openxmlformats.org/officeDocument/2006/relationships/image" Target="media/image200.png"/><Relationship Id="rId185" Type="http://schemas.openxmlformats.org/officeDocument/2006/relationships/image" Target="media/image199.png"/><Relationship Id="rId184" Type="http://schemas.openxmlformats.org/officeDocument/2006/relationships/image" Target="media/image198.png"/><Relationship Id="rId183" Type="http://schemas.openxmlformats.org/officeDocument/2006/relationships/image" Target="media/image197.png"/><Relationship Id="rId182" Type="http://schemas.openxmlformats.org/officeDocument/2006/relationships/image" Target="media/image196.png"/><Relationship Id="rId181" Type="http://schemas.openxmlformats.org/officeDocument/2006/relationships/image" Target="media/image195.jpeg"/><Relationship Id="rId180" Type="http://schemas.openxmlformats.org/officeDocument/2006/relationships/image" Target="media/image194.png"/><Relationship Id="rId18" Type="http://schemas.openxmlformats.org/officeDocument/2006/relationships/image" Target="media/image33.png"/><Relationship Id="rId179" Type="http://schemas.openxmlformats.org/officeDocument/2006/relationships/image" Target="media/image193.png"/><Relationship Id="rId178" Type="http://schemas.openxmlformats.org/officeDocument/2006/relationships/image" Target="media/image192.png"/><Relationship Id="rId177" Type="http://schemas.openxmlformats.org/officeDocument/2006/relationships/image" Target="media/image191.png"/><Relationship Id="rId176" Type="http://schemas.openxmlformats.org/officeDocument/2006/relationships/image" Target="media/image190.png"/><Relationship Id="rId175" Type="http://schemas.openxmlformats.org/officeDocument/2006/relationships/image" Target="media/image189.png"/><Relationship Id="rId174" Type="http://schemas.openxmlformats.org/officeDocument/2006/relationships/image" Target="media/image188.png"/><Relationship Id="rId173" Type="http://schemas.openxmlformats.org/officeDocument/2006/relationships/image" Target="media/image187.png"/><Relationship Id="rId172" Type="http://schemas.openxmlformats.org/officeDocument/2006/relationships/image" Target="media/image186.png"/><Relationship Id="rId171" Type="http://schemas.openxmlformats.org/officeDocument/2006/relationships/image" Target="media/image185.png"/><Relationship Id="rId170" Type="http://schemas.openxmlformats.org/officeDocument/2006/relationships/image" Target="media/image184.png"/><Relationship Id="rId17" Type="http://schemas.openxmlformats.org/officeDocument/2006/relationships/image" Target="media/image32.png"/><Relationship Id="rId169" Type="http://schemas.openxmlformats.org/officeDocument/2006/relationships/image" Target="media/image183.png"/><Relationship Id="rId168" Type="http://schemas.openxmlformats.org/officeDocument/2006/relationships/image" Target="media/image182.png"/><Relationship Id="rId167" Type="http://schemas.openxmlformats.org/officeDocument/2006/relationships/image" Target="media/image181.png"/><Relationship Id="rId166" Type="http://schemas.openxmlformats.org/officeDocument/2006/relationships/image" Target="media/image180.png"/><Relationship Id="rId165" Type="http://schemas.openxmlformats.org/officeDocument/2006/relationships/image" Target="media/image179.png"/><Relationship Id="rId164" Type="http://schemas.openxmlformats.org/officeDocument/2006/relationships/image" Target="media/image178.png"/><Relationship Id="rId163" Type="http://schemas.openxmlformats.org/officeDocument/2006/relationships/image" Target="media/image177.png"/><Relationship Id="rId162" Type="http://schemas.openxmlformats.org/officeDocument/2006/relationships/image" Target="media/image176.png"/><Relationship Id="rId161" Type="http://schemas.openxmlformats.org/officeDocument/2006/relationships/image" Target="media/image175.png"/><Relationship Id="rId160" Type="http://schemas.openxmlformats.org/officeDocument/2006/relationships/image" Target="media/image174.png"/><Relationship Id="rId16" Type="http://schemas.openxmlformats.org/officeDocument/2006/relationships/image" Target="media/image31.png"/><Relationship Id="rId159" Type="http://schemas.openxmlformats.org/officeDocument/2006/relationships/image" Target="media/image173.png"/><Relationship Id="rId158" Type="http://schemas.openxmlformats.org/officeDocument/2006/relationships/image" Target="media/image172.png"/><Relationship Id="rId157" Type="http://schemas.openxmlformats.org/officeDocument/2006/relationships/image" Target="media/image171.png"/><Relationship Id="rId156" Type="http://schemas.openxmlformats.org/officeDocument/2006/relationships/image" Target="media/image170.png"/><Relationship Id="rId155" Type="http://schemas.openxmlformats.org/officeDocument/2006/relationships/image" Target="media/image169.png"/><Relationship Id="rId154" Type="http://schemas.openxmlformats.org/officeDocument/2006/relationships/image" Target="media/image168.png"/><Relationship Id="rId153" Type="http://schemas.openxmlformats.org/officeDocument/2006/relationships/image" Target="media/image167.png"/><Relationship Id="rId152" Type="http://schemas.openxmlformats.org/officeDocument/2006/relationships/image" Target="media/image166.png"/><Relationship Id="rId151" Type="http://schemas.openxmlformats.org/officeDocument/2006/relationships/image" Target="media/image165.png"/><Relationship Id="rId150" Type="http://schemas.openxmlformats.org/officeDocument/2006/relationships/image" Target="media/image164.png"/><Relationship Id="rId15" Type="http://schemas.openxmlformats.org/officeDocument/2006/relationships/image" Target="media/image30.png"/><Relationship Id="rId149" Type="http://schemas.openxmlformats.org/officeDocument/2006/relationships/image" Target="media/image163.png"/><Relationship Id="rId148" Type="http://schemas.openxmlformats.org/officeDocument/2006/relationships/image" Target="media/image162.png"/><Relationship Id="rId147" Type="http://schemas.openxmlformats.org/officeDocument/2006/relationships/image" Target="media/image161.png"/><Relationship Id="rId146" Type="http://schemas.openxmlformats.org/officeDocument/2006/relationships/image" Target="media/image160.png"/><Relationship Id="rId145" Type="http://schemas.openxmlformats.org/officeDocument/2006/relationships/image" Target="media/image159.png"/><Relationship Id="rId144" Type="http://schemas.openxmlformats.org/officeDocument/2006/relationships/image" Target="media/image158.png"/><Relationship Id="rId143" Type="http://schemas.openxmlformats.org/officeDocument/2006/relationships/image" Target="media/image157.png"/><Relationship Id="rId142" Type="http://schemas.openxmlformats.org/officeDocument/2006/relationships/image" Target="media/image156.png"/><Relationship Id="rId141" Type="http://schemas.openxmlformats.org/officeDocument/2006/relationships/image" Target="media/image155.png"/><Relationship Id="rId140" Type="http://schemas.openxmlformats.org/officeDocument/2006/relationships/image" Target="media/image154.png"/><Relationship Id="rId14" Type="http://schemas.openxmlformats.org/officeDocument/2006/relationships/image" Target="media/image29.png"/><Relationship Id="rId139" Type="http://schemas.openxmlformats.org/officeDocument/2006/relationships/image" Target="media/image153.png"/><Relationship Id="rId138" Type="http://schemas.openxmlformats.org/officeDocument/2006/relationships/image" Target="media/image152.png"/><Relationship Id="rId137" Type="http://schemas.openxmlformats.org/officeDocument/2006/relationships/image" Target="media/image151.png"/><Relationship Id="rId136" Type="http://schemas.openxmlformats.org/officeDocument/2006/relationships/image" Target="media/image150.png"/><Relationship Id="rId135" Type="http://schemas.openxmlformats.org/officeDocument/2006/relationships/image" Target="media/image149.png"/><Relationship Id="rId134" Type="http://schemas.openxmlformats.org/officeDocument/2006/relationships/image" Target="media/image148.png"/><Relationship Id="rId133" Type="http://schemas.openxmlformats.org/officeDocument/2006/relationships/image" Target="media/image147.png"/><Relationship Id="rId132" Type="http://schemas.openxmlformats.org/officeDocument/2006/relationships/image" Target="media/image146.png"/><Relationship Id="rId131" Type="http://schemas.openxmlformats.org/officeDocument/2006/relationships/image" Target="media/image145.png"/><Relationship Id="rId130" Type="http://schemas.openxmlformats.org/officeDocument/2006/relationships/image" Target="media/image144.png"/><Relationship Id="rId13" Type="http://schemas.openxmlformats.org/officeDocument/2006/relationships/image" Target="media/image28.png"/><Relationship Id="rId129" Type="http://schemas.openxmlformats.org/officeDocument/2006/relationships/image" Target="media/image143.png"/><Relationship Id="rId128" Type="http://schemas.openxmlformats.org/officeDocument/2006/relationships/image" Target="media/image142.png"/><Relationship Id="rId127" Type="http://schemas.openxmlformats.org/officeDocument/2006/relationships/image" Target="media/image141.png"/><Relationship Id="rId126" Type="http://schemas.openxmlformats.org/officeDocument/2006/relationships/image" Target="media/image140.png"/><Relationship Id="rId125" Type="http://schemas.openxmlformats.org/officeDocument/2006/relationships/image" Target="media/image139.png"/><Relationship Id="rId124" Type="http://schemas.openxmlformats.org/officeDocument/2006/relationships/image" Target="media/image138.png"/><Relationship Id="rId123" Type="http://schemas.openxmlformats.org/officeDocument/2006/relationships/image" Target="media/image137.png"/><Relationship Id="rId122" Type="http://schemas.openxmlformats.org/officeDocument/2006/relationships/image" Target="media/image136.png"/><Relationship Id="rId121" Type="http://schemas.openxmlformats.org/officeDocument/2006/relationships/image" Target="media/image135.png"/><Relationship Id="rId120" Type="http://schemas.openxmlformats.org/officeDocument/2006/relationships/image" Target="media/image134.png"/><Relationship Id="rId12" Type="http://schemas.openxmlformats.org/officeDocument/2006/relationships/image" Target="media/image27.png"/><Relationship Id="rId119" Type="http://schemas.openxmlformats.org/officeDocument/2006/relationships/image" Target="media/image133.png"/><Relationship Id="rId118" Type="http://schemas.openxmlformats.org/officeDocument/2006/relationships/image" Target="media/image132.png"/><Relationship Id="rId117" Type="http://schemas.openxmlformats.org/officeDocument/2006/relationships/image" Target="media/image131.png"/><Relationship Id="rId116" Type="http://schemas.openxmlformats.org/officeDocument/2006/relationships/image" Target="media/image130.png"/><Relationship Id="rId115" Type="http://schemas.openxmlformats.org/officeDocument/2006/relationships/image" Target="media/image129.png"/><Relationship Id="rId114" Type="http://schemas.openxmlformats.org/officeDocument/2006/relationships/image" Target="media/image128.png"/><Relationship Id="rId113" Type="http://schemas.openxmlformats.org/officeDocument/2006/relationships/image" Target="media/image127.png"/><Relationship Id="rId112" Type="http://schemas.openxmlformats.org/officeDocument/2006/relationships/image" Target="media/image126.png"/><Relationship Id="rId111" Type="http://schemas.openxmlformats.org/officeDocument/2006/relationships/image" Target="media/image125.png"/><Relationship Id="rId110" Type="http://schemas.openxmlformats.org/officeDocument/2006/relationships/image" Target="media/image124.png"/><Relationship Id="rId11" Type="http://schemas.openxmlformats.org/officeDocument/2006/relationships/image" Target="media/image26.png"/><Relationship Id="rId109" Type="http://schemas.openxmlformats.org/officeDocument/2006/relationships/image" Target="media/image123.png"/><Relationship Id="rId108" Type="http://schemas.openxmlformats.org/officeDocument/2006/relationships/image" Target="media/image122.png"/><Relationship Id="rId107" Type="http://schemas.openxmlformats.org/officeDocument/2006/relationships/image" Target="media/image121.png"/><Relationship Id="rId106" Type="http://schemas.openxmlformats.org/officeDocument/2006/relationships/image" Target="media/image120.png"/><Relationship Id="rId105" Type="http://schemas.openxmlformats.org/officeDocument/2006/relationships/image" Target="NULL" TargetMode="External"/><Relationship Id="rId104" Type="http://schemas.openxmlformats.org/officeDocument/2006/relationships/image" Target="media/image119.jpeg"/><Relationship Id="rId103" Type="http://schemas.openxmlformats.org/officeDocument/2006/relationships/image" Target="media/image118.png"/><Relationship Id="rId102" Type="http://schemas.openxmlformats.org/officeDocument/2006/relationships/image" Target="media/image117.png"/><Relationship Id="rId101" Type="http://schemas.openxmlformats.org/officeDocument/2006/relationships/image" Target="media/image116.png"/><Relationship Id="rId100" Type="http://schemas.openxmlformats.org/officeDocument/2006/relationships/image" Target="media/image115.png"/><Relationship Id="rId10" Type="http://schemas.openxmlformats.org/officeDocument/2006/relationships/image" Target="media/image25.png"/><Relationship Id="rId1" Type="http://schemas.openxmlformats.org/officeDocument/2006/relationships/image" Target="media/image16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15" Type="http://schemas.openxmlformats.org/officeDocument/2006/relationships/image" Target="../media/image14.pn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NULL" TargetMode="External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201930</xdr:colOff>
      <xdr:row>58</xdr:row>
      <xdr:rowOff>297815</xdr:rowOff>
    </xdr:from>
    <xdr:to>
      <xdr:col>7</xdr:col>
      <xdr:colOff>0</xdr:colOff>
      <xdr:row>58</xdr:row>
      <xdr:rowOff>1839595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7130" y="91699715"/>
          <a:ext cx="2576830" cy="154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292735</xdr:colOff>
      <xdr:row>59</xdr:row>
      <xdr:rowOff>203200</xdr:rowOff>
    </xdr:from>
    <xdr:to>
      <xdr:col>6</xdr:col>
      <xdr:colOff>2515870</xdr:colOff>
      <xdr:row>59</xdr:row>
      <xdr:rowOff>1935480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07935" y="93789500"/>
          <a:ext cx="2223135" cy="173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549910</xdr:colOff>
      <xdr:row>62</xdr:row>
      <xdr:rowOff>171450</xdr:rowOff>
    </xdr:from>
    <xdr:to>
      <xdr:col>6</xdr:col>
      <xdr:colOff>2345055</xdr:colOff>
      <xdr:row>62</xdr:row>
      <xdr:rowOff>2012315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65110" y="100310950"/>
          <a:ext cx="1795145" cy="184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158750</xdr:colOff>
      <xdr:row>63</xdr:row>
      <xdr:rowOff>290195</xdr:rowOff>
    </xdr:from>
    <xdr:to>
      <xdr:col>7</xdr:col>
      <xdr:colOff>0</xdr:colOff>
      <xdr:row>63</xdr:row>
      <xdr:rowOff>1844040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73950" y="102614095"/>
          <a:ext cx="2620010" cy="155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381000</xdr:colOff>
      <xdr:row>101</xdr:row>
      <xdr:rowOff>269240</xdr:rowOff>
    </xdr:from>
    <xdr:to>
      <xdr:col>6</xdr:col>
      <xdr:colOff>2423160</xdr:colOff>
      <xdr:row>101</xdr:row>
      <xdr:rowOff>2040890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96200" y="186159140"/>
          <a:ext cx="2042160" cy="177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201930</xdr:colOff>
      <xdr:row>137</xdr:row>
      <xdr:rowOff>358140</xdr:rowOff>
    </xdr:from>
    <xdr:to>
      <xdr:col>7</xdr:col>
      <xdr:colOff>0</xdr:colOff>
      <xdr:row>137</xdr:row>
      <xdr:rowOff>1798955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517130" y="264886440"/>
          <a:ext cx="2576830" cy="144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302260</xdr:colOff>
      <xdr:row>138</xdr:row>
      <xdr:rowOff>389255</xdr:rowOff>
    </xdr:from>
    <xdr:to>
      <xdr:col>7</xdr:col>
      <xdr:colOff>0</xdr:colOff>
      <xdr:row>138</xdr:row>
      <xdr:rowOff>1654810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17460" y="267101955"/>
          <a:ext cx="2476500" cy="1265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204</xdr:row>
      <xdr:rowOff>401320</xdr:rowOff>
    </xdr:from>
    <xdr:to>
      <xdr:col>7</xdr:col>
      <xdr:colOff>0</xdr:colOff>
      <xdr:row>204</xdr:row>
      <xdr:rowOff>1781175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630795" y="411284420"/>
          <a:ext cx="2463165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203</xdr:row>
      <xdr:rowOff>87630</xdr:rowOff>
    </xdr:from>
    <xdr:to>
      <xdr:col>6</xdr:col>
      <xdr:colOff>2416810</xdr:colOff>
      <xdr:row>203</xdr:row>
      <xdr:rowOff>2077720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618730" y="408786330"/>
          <a:ext cx="2113280" cy="199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617220</xdr:colOff>
      <xdr:row>206</xdr:row>
      <xdr:rowOff>217805</xdr:rowOff>
    </xdr:from>
    <xdr:to>
      <xdr:col>6</xdr:col>
      <xdr:colOff>2216785</xdr:colOff>
      <xdr:row>206</xdr:row>
      <xdr:rowOff>2044065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932420" y="415469705"/>
          <a:ext cx="159956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186055</xdr:colOff>
      <xdr:row>207</xdr:row>
      <xdr:rowOff>165735</xdr:rowOff>
    </xdr:from>
    <xdr:to>
      <xdr:col>6</xdr:col>
      <xdr:colOff>2489200</xdr:colOff>
      <xdr:row>207</xdr:row>
      <xdr:rowOff>1980565</xdr:rowOff>
    </xdr:to>
    <xdr:pic>
      <xdr:nvPicPr>
        <xdr:cNvPr id="12" name="图片 11"/>
        <xdr:cNvPicPr>
          <a:picLocks noChangeAspect="1"/>
        </xdr:cNvPicPr>
      </xdr:nvPicPr>
      <xdr:blipFill>
        <a:blip r:embed="rId11" r:link="rId12"/>
        <a:srcRect l="14321" t="23222" r="8003" b="15642"/>
        <a:stretch>
          <a:fillRect/>
        </a:stretch>
      </xdr:blipFill>
      <xdr:spPr>
        <a:xfrm>
          <a:off x="7501255" y="417602035"/>
          <a:ext cx="2303145" cy="1814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499745</xdr:colOff>
      <xdr:row>208</xdr:row>
      <xdr:rowOff>109855</xdr:rowOff>
    </xdr:from>
    <xdr:to>
      <xdr:col>6</xdr:col>
      <xdr:colOff>2133600</xdr:colOff>
      <xdr:row>208</xdr:row>
      <xdr:rowOff>2002790</xdr:rowOff>
    </xdr:to>
    <xdr:pic>
      <xdr:nvPicPr>
        <xdr:cNvPr id="13" name="图片 12"/>
        <xdr:cNvPicPr>
          <a:picLocks noChangeAspect="1"/>
        </xdr:cNvPicPr>
      </xdr:nvPicPr>
      <xdr:blipFill>
        <a:blip r:embed="rId13" r:link="rId12"/>
        <a:srcRect l="-2054" t="9756" r="139" b="11514"/>
        <a:stretch>
          <a:fillRect/>
        </a:stretch>
      </xdr:blipFill>
      <xdr:spPr>
        <a:xfrm>
          <a:off x="7814945" y="419730555"/>
          <a:ext cx="1633855" cy="1892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297815</xdr:colOff>
      <xdr:row>209</xdr:row>
      <xdr:rowOff>210820</xdr:rowOff>
    </xdr:from>
    <xdr:to>
      <xdr:col>6</xdr:col>
      <xdr:colOff>2504440</xdr:colOff>
      <xdr:row>209</xdr:row>
      <xdr:rowOff>1936750</xdr:rowOff>
    </xdr:to>
    <xdr:pic>
      <xdr:nvPicPr>
        <xdr:cNvPr id="14" name="图片 13"/>
        <xdr:cNvPicPr>
          <a:picLocks noChangeAspect="1"/>
        </xdr:cNvPicPr>
      </xdr:nvPicPr>
      <xdr:blipFill>
        <a:blip r:embed="rId14" r:link="rId12"/>
        <a:srcRect l="12579" t="3672" r="3616" b="4280"/>
        <a:stretch>
          <a:fillRect/>
        </a:stretch>
      </xdr:blipFill>
      <xdr:spPr>
        <a:xfrm>
          <a:off x="7613015" y="422015920"/>
          <a:ext cx="2206625" cy="1725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278130</xdr:colOff>
      <xdr:row>166</xdr:row>
      <xdr:rowOff>153035</xdr:rowOff>
    </xdr:from>
    <xdr:to>
      <xdr:col>7</xdr:col>
      <xdr:colOff>0</xdr:colOff>
      <xdr:row>166</xdr:row>
      <xdr:rowOff>2023745</xdr:rowOff>
    </xdr:to>
    <xdr:pic>
      <xdr:nvPicPr>
        <xdr:cNvPr id="15" name="图片 14"/>
        <xdr:cNvPicPr>
          <a:picLocks noChangeAspect="1"/>
        </xdr:cNvPicPr>
      </xdr:nvPicPr>
      <xdr:blipFill>
        <a:blip r:embed="rId15" r:link="rId12"/>
        <a:srcRect t="12234" r="5337" b="13193"/>
        <a:stretch>
          <a:fillRect/>
        </a:stretch>
      </xdr:blipFill>
      <xdr:spPr>
        <a:xfrm>
          <a:off x="7593330" y="328028935"/>
          <a:ext cx="2500630" cy="1870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347980</xdr:colOff>
      <xdr:row>177</xdr:row>
      <xdr:rowOff>83820</xdr:rowOff>
    </xdr:from>
    <xdr:to>
      <xdr:col>6</xdr:col>
      <xdr:colOff>2325370</xdr:colOff>
      <xdr:row>177</xdr:row>
      <xdr:rowOff>2080895</xdr:rowOff>
    </xdr:to>
    <xdr:pic>
      <xdr:nvPicPr>
        <xdr:cNvPr id="16" name="图片 15"/>
        <xdr:cNvPicPr>
          <a:picLocks noChangeAspect="1"/>
        </xdr:cNvPicPr>
      </xdr:nvPicPr>
      <xdr:blipFill>
        <a:blip r:embed="rId16" r:link="rId12"/>
        <a:stretch>
          <a:fillRect/>
        </a:stretch>
      </xdr:blipFill>
      <xdr:spPr>
        <a:xfrm>
          <a:off x="7663180" y="351988120"/>
          <a:ext cx="1977390" cy="1997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1"/>
  <sheetViews>
    <sheetView topLeftCell="A289" workbookViewId="0">
      <selection activeCell="H283" sqref="H283"/>
    </sheetView>
  </sheetViews>
  <sheetFormatPr defaultColWidth="8" defaultRowHeight="12.75"/>
  <cols>
    <col min="1" max="1" width="8" style="21"/>
    <col min="2" max="2" width="20.5" style="21" customWidth="1"/>
    <col min="3" max="3" width="8.375" style="21" customWidth="1"/>
    <col min="4" max="4" width="18.375" style="21" customWidth="1"/>
    <col min="5" max="5" width="23.375" style="21" customWidth="1"/>
    <col min="6" max="6" width="17.375" style="21" customWidth="1"/>
    <col min="7" max="7" width="36.4666666666667" style="21" customWidth="1"/>
    <col min="8" max="8" width="12.375" style="21" customWidth="1"/>
    <col min="9" max="9" width="25.7333333333333" style="23" customWidth="1"/>
    <col min="10" max="10" width="20.2916666666667" style="21" customWidth="1"/>
    <col min="11" max="16384" width="8" style="21"/>
  </cols>
  <sheetData>
    <row r="1" s="21" customFormat="1" ht="66" customHeight="1" spans="1:10">
      <c r="A1" s="24" t="s">
        <v>0</v>
      </c>
      <c r="B1" s="24" t="s">
        <v>1</v>
      </c>
      <c r="C1" s="25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5" t="s">
        <v>8</v>
      </c>
      <c r="J1" s="24" t="s">
        <v>9</v>
      </c>
    </row>
    <row r="2" s="22" customFormat="1" ht="125" customHeight="1" spans="1:10">
      <c r="A2" s="26">
        <v>1</v>
      </c>
      <c r="B2" s="27" t="s">
        <v>10</v>
      </c>
      <c r="C2" s="27" t="s">
        <v>11</v>
      </c>
      <c r="D2" s="27"/>
      <c r="E2" s="15">
        <v>367.5</v>
      </c>
      <c r="F2" s="15">
        <v>4292.34</v>
      </c>
      <c r="G2" s="15" t="str">
        <f>_xlfn.DISPIMG("ID_6957EE4F49EC45688AC04C805A4B34A2",1)</f>
        <v>=DISPIMG("ID_6957EE4F49EC45688AC04C805A4B34A2",1)</v>
      </c>
      <c r="H2" s="27" t="s">
        <v>12</v>
      </c>
      <c r="I2" s="9" t="s">
        <v>13</v>
      </c>
      <c r="J2" s="15"/>
    </row>
    <row r="3" s="22" customFormat="1" ht="112" customHeight="1" spans="1:10">
      <c r="A3" s="26">
        <v>2</v>
      </c>
      <c r="B3" s="27" t="s">
        <v>14</v>
      </c>
      <c r="C3" s="27" t="s">
        <v>11</v>
      </c>
      <c r="D3" s="27"/>
      <c r="E3" s="15">
        <v>229.45</v>
      </c>
      <c r="F3" s="28">
        <v>7364.06</v>
      </c>
      <c r="G3" s="15" t="str">
        <f>_xlfn.DISPIMG("ID_C09BD44B6E3C43DC91E02EBE477327E6",1)</f>
        <v>=DISPIMG("ID_C09BD44B6E3C43DC91E02EBE477327E6",1)</v>
      </c>
      <c r="H3" s="27" t="s">
        <v>12</v>
      </c>
      <c r="I3" s="9" t="s">
        <v>15</v>
      </c>
      <c r="J3" s="15"/>
    </row>
    <row r="4" s="22" customFormat="1" ht="80" customHeight="1" spans="1:10">
      <c r="A4" s="26">
        <v>3</v>
      </c>
      <c r="B4" s="27" t="s">
        <v>16</v>
      </c>
      <c r="C4" s="27" t="s">
        <v>11</v>
      </c>
      <c r="D4" s="27"/>
      <c r="E4" s="15">
        <v>5</v>
      </c>
      <c r="F4" s="15">
        <v>52</v>
      </c>
      <c r="G4" s="15" t="str">
        <f>_xlfn.DISPIMG("ID_0ABAED5D2AFE4AE1B38ED2F9C347107E",1)</f>
        <v>=DISPIMG("ID_0ABAED5D2AFE4AE1B38ED2F9C347107E",1)</v>
      </c>
      <c r="H4" s="27" t="s">
        <v>17</v>
      </c>
      <c r="I4" s="9" t="s">
        <v>18</v>
      </c>
      <c r="J4" s="15"/>
    </row>
    <row r="5" s="22" customFormat="1" ht="80" customHeight="1" spans="1:10">
      <c r="A5" s="26">
        <v>4</v>
      </c>
      <c r="B5" s="27" t="s">
        <v>19</v>
      </c>
      <c r="C5" s="27" t="s">
        <v>11</v>
      </c>
      <c r="D5" s="27"/>
      <c r="E5" s="15">
        <v>699.35</v>
      </c>
      <c r="F5" s="15">
        <v>10518.2</v>
      </c>
      <c r="G5" s="15" t="str">
        <f>_xlfn.DISPIMG("ID_81C4288D6CC74AC8961DE5F88C83A27A",1)</f>
        <v>=DISPIMG("ID_81C4288D6CC74AC8961DE5F88C83A27A",1)</v>
      </c>
      <c r="H5" s="27" t="s">
        <v>17</v>
      </c>
      <c r="I5" s="9" t="s">
        <v>20</v>
      </c>
      <c r="J5" s="15"/>
    </row>
    <row r="6" s="22" customFormat="1" ht="80" customHeight="1" spans="1:10">
      <c r="A6" s="26">
        <v>5</v>
      </c>
      <c r="B6" s="27" t="s">
        <v>21</v>
      </c>
      <c r="C6" s="27" t="s">
        <v>22</v>
      </c>
      <c r="D6" s="27" t="s">
        <v>23</v>
      </c>
      <c r="E6" s="15">
        <v>24169</v>
      </c>
      <c r="F6" s="15">
        <v>43066.93</v>
      </c>
      <c r="G6" s="15" t="str">
        <f>_xlfn.DISPIMG("ID_B21012D3633B45F286A2AE5A1725499A",1)</f>
        <v>=DISPIMG("ID_B21012D3633B45F286A2AE5A1725499A",1)</v>
      </c>
      <c r="H6" s="27" t="s">
        <v>17</v>
      </c>
      <c r="I6" s="9" t="s">
        <v>24</v>
      </c>
      <c r="J6" s="15"/>
    </row>
    <row r="7" s="22" customFormat="1" ht="80" customHeight="1" spans="1:10">
      <c r="A7" s="26">
        <v>6</v>
      </c>
      <c r="B7" s="27" t="s">
        <v>25</v>
      </c>
      <c r="C7" s="27" t="s">
        <v>11</v>
      </c>
      <c r="D7" s="27"/>
      <c r="E7" s="15">
        <v>69.3</v>
      </c>
      <c r="F7" s="28">
        <v>1397.81</v>
      </c>
      <c r="G7" s="15" t="str">
        <f>_xlfn.DISPIMG("ID_C7BE622D1DE14BBF8457D663B1C89008",1)</f>
        <v>=DISPIMG("ID_C7BE622D1DE14BBF8457D663B1C89008",1)</v>
      </c>
      <c r="H7" s="27" t="s">
        <v>17</v>
      </c>
      <c r="I7" s="9" t="s">
        <v>26</v>
      </c>
      <c r="J7" s="15"/>
    </row>
    <row r="8" s="22" customFormat="1" ht="80" customHeight="1" spans="1:10">
      <c r="A8" s="26">
        <v>7</v>
      </c>
      <c r="B8" s="27" t="s">
        <v>27</v>
      </c>
      <c r="C8" s="27" t="s">
        <v>22</v>
      </c>
      <c r="D8" s="27"/>
      <c r="E8" s="15">
        <v>6000</v>
      </c>
      <c r="F8" s="15">
        <v>341.26</v>
      </c>
      <c r="G8" s="15" t="str">
        <f>_xlfn.DISPIMG("ID_F4BFF54F944A4BDF846BD5E10750AFB2",1)</f>
        <v>=DISPIMG("ID_F4BFF54F944A4BDF846BD5E10750AFB2",1)</v>
      </c>
      <c r="H8" s="27" t="s">
        <v>17</v>
      </c>
      <c r="I8" s="9" t="s">
        <v>28</v>
      </c>
      <c r="J8" s="15"/>
    </row>
    <row r="9" s="22" customFormat="1" ht="80" customHeight="1" spans="1:10">
      <c r="A9" s="26">
        <v>8</v>
      </c>
      <c r="B9" s="27" t="s">
        <v>29</v>
      </c>
      <c r="C9" s="27" t="s">
        <v>30</v>
      </c>
      <c r="D9" s="27"/>
      <c r="E9" s="15">
        <v>230</v>
      </c>
      <c r="F9" s="28">
        <v>274.4</v>
      </c>
      <c r="G9" s="15" t="str">
        <f>_xlfn.DISPIMG("ID_ADC35531D4D84C62B830698B8574F6FC",1)</f>
        <v>=DISPIMG("ID_ADC35531D4D84C62B830698B8574F6FC",1)</v>
      </c>
      <c r="H9" s="27" t="s">
        <v>17</v>
      </c>
      <c r="I9" s="9" t="s">
        <v>31</v>
      </c>
      <c r="J9" s="15"/>
    </row>
    <row r="10" s="22" customFormat="1" ht="80" customHeight="1" spans="1:10">
      <c r="A10" s="26">
        <v>9</v>
      </c>
      <c r="B10" s="29" t="s">
        <v>32</v>
      </c>
      <c r="C10" s="27" t="s">
        <v>11</v>
      </c>
      <c r="D10" s="27"/>
      <c r="E10" s="15">
        <v>50</v>
      </c>
      <c r="F10" s="15">
        <v>821.81</v>
      </c>
      <c r="G10" s="15" t="str">
        <f>_xlfn.DISPIMG("ID_07115B39CEC0418DA380B85379E48B3A",1)</f>
        <v>=DISPIMG("ID_07115B39CEC0418DA380B85379E48B3A",1)</v>
      </c>
      <c r="H10" s="27" t="s">
        <v>17</v>
      </c>
      <c r="I10" s="9" t="s">
        <v>33</v>
      </c>
      <c r="J10" s="15"/>
    </row>
    <row r="11" s="22" customFormat="1" ht="80" customHeight="1" spans="1:10">
      <c r="A11" s="26">
        <v>10</v>
      </c>
      <c r="B11" s="27" t="s">
        <v>34</v>
      </c>
      <c r="C11" s="27" t="s">
        <v>11</v>
      </c>
      <c r="D11" s="27"/>
      <c r="E11" s="15">
        <v>62.75</v>
      </c>
      <c r="F11" s="15">
        <v>575.42</v>
      </c>
      <c r="G11" s="15" t="str">
        <f>_xlfn.DISPIMG("ID_D17A650EA16548C29BB9EF47CDE484BA",1)</f>
        <v>=DISPIMG("ID_D17A650EA16548C29BB9EF47CDE484BA",1)</v>
      </c>
      <c r="H11" s="27" t="s">
        <v>17</v>
      </c>
      <c r="I11" s="9" t="s">
        <v>35</v>
      </c>
      <c r="J11" s="15"/>
    </row>
    <row r="12" s="22" customFormat="1" ht="80" customHeight="1" spans="1:10">
      <c r="A12" s="26">
        <v>11</v>
      </c>
      <c r="B12" s="29" t="s">
        <v>36</v>
      </c>
      <c r="C12" s="27" t="s">
        <v>11</v>
      </c>
      <c r="D12" s="27"/>
      <c r="E12" s="15">
        <v>30.6</v>
      </c>
      <c r="F12" s="15">
        <v>1066.71</v>
      </c>
      <c r="G12" s="15" t="str">
        <f>_xlfn.DISPIMG("ID_B68D865930A64DB59AEEADCE39272008",1)</f>
        <v>=DISPIMG("ID_B68D865930A64DB59AEEADCE39272008",1)</v>
      </c>
      <c r="H12" s="27" t="s">
        <v>17</v>
      </c>
      <c r="I12" s="9" t="s">
        <v>37</v>
      </c>
      <c r="J12" s="15"/>
    </row>
    <row r="13" s="22" customFormat="1" ht="80" customHeight="1" spans="1:10">
      <c r="A13" s="26">
        <v>12</v>
      </c>
      <c r="B13" s="27" t="s">
        <v>38</v>
      </c>
      <c r="C13" s="27" t="s">
        <v>11</v>
      </c>
      <c r="D13" s="27"/>
      <c r="E13" s="15">
        <v>462.55</v>
      </c>
      <c r="F13" s="15">
        <v>8062.25</v>
      </c>
      <c r="G13" s="15" t="str">
        <f>_xlfn.DISPIMG("ID_06F23CEF16AD45E5A024EE285947A626",1)</f>
        <v>=DISPIMG("ID_06F23CEF16AD45E5A024EE285947A626",1)</v>
      </c>
      <c r="H13" s="27" t="s">
        <v>17</v>
      </c>
      <c r="I13" s="9" t="s">
        <v>39</v>
      </c>
      <c r="J13" s="15"/>
    </row>
    <row r="14" s="22" customFormat="1" ht="80" customHeight="1" spans="1:10">
      <c r="A14" s="26">
        <v>13</v>
      </c>
      <c r="B14" s="29" t="s">
        <v>40</v>
      </c>
      <c r="C14" s="27" t="s">
        <v>11</v>
      </c>
      <c r="D14" s="27"/>
      <c r="E14" s="15">
        <v>467.25</v>
      </c>
      <c r="F14" s="15">
        <v>4566.98</v>
      </c>
      <c r="G14" s="15" t="str">
        <f>_xlfn.DISPIMG("ID_BE9CB32772C44E9C81D98A6DC290954B",1)</f>
        <v>=DISPIMG("ID_BE9CB32772C44E9C81D98A6DC290954B",1)</v>
      </c>
      <c r="H14" s="27" t="s">
        <v>17</v>
      </c>
      <c r="I14" s="9" t="s">
        <v>41</v>
      </c>
      <c r="J14" s="15"/>
    </row>
    <row r="15" s="22" customFormat="1" ht="80" customHeight="1" spans="1:10">
      <c r="A15" s="26">
        <v>14</v>
      </c>
      <c r="B15" s="27" t="s">
        <v>42</v>
      </c>
      <c r="C15" s="27" t="s">
        <v>11</v>
      </c>
      <c r="D15" s="27"/>
      <c r="E15" s="15">
        <v>100</v>
      </c>
      <c r="F15" s="15">
        <v>94.05</v>
      </c>
      <c r="G15" s="15" t="str">
        <f>_xlfn.DISPIMG("ID_8F41850DA07548C0B1E1B5200B68B7B4",1)</f>
        <v>=DISPIMG("ID_8F41850DA07548C0B1E1B5200B68B7B4",1)</v>
      </c>
      <c r="H15" s="27" t="s">
        <v>17</v>
      </c>
      <c r="I15" s="9" t="s">
        <v>43</v>
      </c>
      <c r="J15" s="15"/>
    </row>
    <row r="16" s="22" customFormat="1" ht="80" customHeight="1" spans="1:10">
      <c r="A16" s="26">
        <v>15</v>
      </c>
      <c r="B16" s="29" t="s">
        <v>44</v>
      </c>
      <c r="C16" s="27" t="s">
        <v>11</v>
      </c>
      <c r="D16" s="27"/>
      <c r="E16" s="15">
        <v>200</v>
      </c>
      <c r="F16" s="15">
        <v>1151.09</v>
      </c>
      <c r="G16" s="16" t="str">
        <f>_xlfn.DISPIMG("ID_9149F9A64BCA46B48C877B77962034C0",1)</f>
        <v>=DISPIMG("ID_9149F9A64BCA46B48C877B77962034C0",1)</v>
      </c>
      <c r="H16" s="27" t="s">
        <v>17</v>
      </c>
      <c r="I16" s="9" t="s">
        <v>45</v>
      </c>
      <c r="J16" s="15"/>
    </row>
    <row r="17" s="22" customFormat="1" ht="80" customHeight="1" spans="1:10">
      <c r="A17" s="26">
        <v>16</v>
      </c>
      <c r="B17" s="27" t="s">
        <v>46</v>
      </c>
      <c r="C17" s="27" t="s">
        <v>11</v>
      </c>
      <c r="D17" s="27"/>
      <c r="E17" s="15">
        <v>200</v>
      </c>
      <c r="F17" s="15">
        <v>498.95</v>
      </c>
      <c r="G17" s="15" t="str">
        <f>_xlfn.DISPIMG("ID_EAA20427226147D4961802BCD3D74BDB",1)</f>
        <v>=DISPIMG("ID_EAA20427226147D4961802BCD3D74BDB",1)</v>
      </c>
      <c r="H17" s="27" t="s">
        <v>17</v>
      </c>
      <c r="I17" s="9" t="s">
        <v>47</v>
      </c>
      <c r="J17" s="15"/>
    </row>
    <row r="18" s="22" customFormat="1" ht="80" customHeight="1" spans="1:10">
      <c r="A18" s="26">
        <v>17</v>
      </c>
      <c r="B18" s="27" t="s">
        <v>48</v>
      </c>
      <c r="C18" s="27" t="s">
        <v>11</v>
      </c>
      <c r="D18" s="27"/>
      <c r="E18" s="15">
        <v>100</v>
      </c>
      <c r="F18" s="15">
        <v>276.59</v>
      </c>
      <c r="G18" s="15" t="str">
        <f>_xlfn.DISPIMG("ID_2E218AB8D4C546AD81919CC207C6A25C",1)</f>
        <v>=DISPIMG("ID_2E218AB8D4C546AD81919CC207C6A25C",1)</v>
      </c>
      <c r="H18" s="27" t="s">
        <v>17</v>
      </c>
      <c r="I18" s="9" t="s">
        <v>49</v>
      </c>
      <c r="J18" s="15"/>
    </row>
    <row r="19" s="22" customFormat="1" ht="80" customHeight="1" spans="1:10">
      <c r="A19" s="26">
        <v>18</v>
      </c>
      <c r="B19" s="27" t="s">
        <v>50</v>
      </c>
      <c r="C19" s="27" t="s">
        <v>11</v>
      </c>
      <c r="D19" s="27"/>
      <c r="E19" s="15">
        <v>360.6</v>
      </c>
      <c r="F19" s="15">
        <v>4943.63</v>
      </c>
      <c r="G19" s="15" t="str">
        <f>_xlfn.DISPIMG("ID_405F2B4E20DF45769168B71D8AAFD490",1)</f>
        <v>=DISPIMG("ID_405F2B4E20DF45769168B71D8AAFD490",1)</v>
      </c>
      <c r="H19" s="27" t="s">
        <v>17</v>
      </c>
      <c r="I19" s="9" t="s">
        <v>51</v>
      </c>
      <c r="J19" s="15"/>
    </row>
    <row r="20" s="22" customFormat="1" ht="80" customHeight="1" spans="1:10">
      <c r="A20" s="26">
        <v>19</v>
      </c>
      <c r="B20" s="27" t="s">
        <v>52</v>
      </c>
      <c r="C20" s="27" t="s">
        <v>11</v>
      </c>
      <c r="D20" s="27"/>
      <c r="E20" s="15">
        <v>167</v>
      </c>
      <c r="F20" s="15">
        <v>2141</v>
      </c>
      <c r="G20" s="15" t="str">
        <f>_xlfn.DISPIMG("ID_50F22B7C75D348149FEAAAC3E8E480FF",1)</f>
        <v>=DISPIMG("ID_50F22B7C75D348149FEAAAC3E8E480FF",1)</v>
      </c>
      <c r="H20" s="27" t="s">
        <v>17</v>
      </c>
      <c r="I20" s="9" t="s">
        <v>53</v>
      </c>
      <c r="J20" s="15"/>
    </row>
    <row r="21" s="22" customFormat="1" ht="80" customHeight="1" spans="1:10">
      <c r="A21" s="26">
        <v>20</v>
      </c>
      <c r="B21" s="27" t="s">
        <v>54</v>
      </c>
      <c r="C21" s="27" t="s">
        <v>11</v>
      </c>
      <c r="D21" s="27"/>
      <c r="E21" s="15">
        <v>1000</v>
      </c>
      <c r="F21" s="15">
        <v>64.52</v>
      </c>
      <c r="G21" s="15" t="str">
        <f>_xlfn.DISPIMG("ID_B1AF217D56964E7E8CA761CA642418ED",1)</f>
        <v>=DISPIMG("ID_B1AF217D56964E7E8CA761CA642418ED",1)</v>
      </c>
      <c r="H21" s="27" t="s">
        <v>17</v>
      </c>
      <c r="I21" s="9" t="s">
        <v>55</v>
      </c>
      <c r="J21" s="15"/>
    </row>
    <row r="22" s="22" customFormat="1" ht="80" customHeight="1" spans="1:10">
      <c r="A22" s="26">
        <v>21</v>
      </c>
      <c r="B22" s="27" t="s">
        <v>56</v>
      </c>
      <c r="C22" s="27" t="s">
        <v>11</v>
      </c>
      <c r="D22" s="30"/>
      <c r="E22" s="15">
        <v>445.95</v>
      </c>
      <c r="F22" s="15">
        <v>3683.56</v>
      </c>
      <c r="G22" s="15" t="str">
        <f>_xlfn.DISPIMG("ID_0FFD21A84DBE4146BE0E2BD5611FD087",1)</f>
        <v>=DISPIMG("ID_0FFD21A84DBE4146BE0E2BD5611FD087",1)</v>
      </c>
      <c r="H22" s="27" t="s">
        <v>17</v>
      </c>
      <c r="I22" s="9" t="s">
        <v>57</v>
      </c>
      <c r="J22" s="15"/>
    </row>
    <row r="23" s="22" customFormat="1" ht="80" customHeight="1" spans="1:10">
      <c r="A23" s="26">
        <v>22</v>
      </c>
      <c r="B23" s="27" t="s">
        <v>58</v>
      </c>
      <c r="C23" s="27" t="s">
        <v>11</v>
      </c>
      <c r="D23" s="27"/>
      <c r="E23" s="15">
        <v>163.45</v>
      </c>
      <c r="F23" s="15">
        <v>4006.59</v>
      </c>
      <c r="G23" s="15" t="str">
        <f>_xlfn.DISPIMG("ID_7E12CB697D27424F8C77267B13539403",1)</f>
        <v>=DISPIMG("ID_7E12CB697D27424F8C77267B13539403",1)</v>
      </c>
      <c r="H23" s="27" t="s">
        <v>17</v>
      </c>
      <c r="I23" s="9" t="s">
        <v>59</v>
      </c>
      <c r="J23" s="15"/>
    </row>
    <row r="24" s="22" customFormat="1" ht="80" customHeight="1" spans="1:10">
      <c r="A24" s="26">
        <v>23</v>
      </c>
      <c r="B24" s="27" t="s">
        <v>60</v>
      </c>
      <c r="C24" s="27" t="s">
        <v>11</v>
      </c>
      <c r="D24" s="27"/>
      <c r="E24" s="15">
        <v>47.45</v>
      </c>
      <c r="F24" s="15">
        <v>5659.35</v>
      </c>
      <c r="G24" s="15" t="str">
        <f>_xlfn.DISPIMG("ID_66DA159C713D4DB985694E3506A3E7C3",1)</f>
        <v>=DISPIMG("ID_66DA159C713D4DB985694E3506A3E7C3",1)</v>
      </c>
      <c r="H24" s="27" t="s">
        <v>17</v>
      </c>
      <c r="I24" s="9" t="s">
        <v>61</v>
      </c>
      <c r="J24" s="15"/>
    </row>
    <row r="25" s="22" customFormat="1" ht="80" customHeight="1" spans="1:10">
      <c r="A25" s="26">
        <v>24</v>
      </c>
      <c r="B25" s="27" t="s">
        <v>62</v>
      </c>
      <c r="C25" s="27" t="s">
        <v>11</v>
      </c>
      <c r="D25" s="27"/>
      <c r="E25" s="15">
        <v>200</v>
      </c>
      <c r="F25" s="15">
        <v>1675.32</v>
      </c>
      <c r="G25" s="15" t="str">
        <f>_xlfn.DISPIMG("ID_8A618D315D0D47CB8601BEB64EAFB5CE",1)</f>
        <v>=DISPIMG("ID_8A618D315D0D47CB8601BEB64EAFB5CE",1)</v>
      </c>
      <c r="H25" s="27" t="s">
        <v>17</v>
      </c>
      <c r="I25" s="9" t="s">
        <v>63</v>
      </c>
      <c r="J25" s="15"/>
    </row>
    <row r="26" s="22" customFormat="1" ht="80" customHeight="1" spans="1:10">
      <c r="A26" s="26">
        <v>25</v>
      </c>
      <c r="B26" s="27" t="s">
        <v>64</v>
      </c>
      <c r="C26" s="27" t="s">
        <v>30</v>
      </c>
      <c r="D26" s="27" t="s">
        <v>65</v>
      </c>
      <c r="E26" s="15">
        <v>50</v>
      </c>
      <c r="F26" s="15">
        <v>92.52</v>
      </c>
      <c r="G26" s="15" t="str">
        <f>_xlfn.DISPIMG("ID_A602CB69E1F643929DD6928A89D22057",1)</f>
        <v>=DISPIMG("ID_A602CB69E1F643929DD6928A89D22057",1)</v>
      </c>
      <c r="H26" s="27" t="s">
        <v>17</v>
      </c>
      <c r="I26" s="9" t="s">
        <v>66</v>
      </c>
      <c r="J26" s="15"/>
    </row>
    <row r="27" s="22" customFormat="1" ht="80" customHeight="1" spans="1:10">
      <c r="A27" s="26">
        <v>26</v>
      </c>
      <c r="B27" s="27" t="s">
        <v>67</v>
      </c>
      <c r="C27" s="27" t="s">
        <v>11</v>
      </c>
      <c r="D27" s="27"/>
      <c r="E27" s="15">
        <v>300</v>
      </c>
      <c r="F27" s="15">
        <v>1192.32</v>
      </c>
      <c r="G27" s="15" t="str">
        <f>_xlfn.DISPIMG("ID_9B246D49CB4A487EB1A42491F841E13C",1)</f>
        <v>=DISPIMG("ID_9B246D49CB4A487EB1A42491F841E13C",1)</v>
      </c>
      <c r="H27" s="27" t="s">
        <v>17</v>
      </c>
      <c r="I27" s="9" t="s">
        <v>68</v>
      </c>
      <c r="J27" s="15"/>
    </row>
    <row r="28" s="22" customFormat="1" ht="80" customHeight="1" spans="1:10">
      <c r="A28" s="26">
        <v>27</v>
      </c>
      <c r="B28" s="27" t="s">
        <v>69</v>
      </c>
      <c r="C28" s="27" t="s">
        <v>11</v>
      </c>
      <c r="D28" s="27"/>
      <c r="E28" s="15">
        <v>509.2</v>
      </c>
      <c r="F28" s="15">
        <v>4206.24</v>
      </c>
      <c r="G28" s="15" t="str">
        <f>_xlfn.DISPIMG("ID_6A970408DC9E4C94B987CAAB19E7D15F",1)</f>
        <v>=DISPIMG("ID_6A970408DC9E4C94B987CAAB19E7D15F",1)</v>
      </c>
      <c r="H28" s="27" t="s">
        <v>17</v>
      </c>
      <c r="I28" s="9" t="s">
        <v>70</v>
      </c>
      <c r="J28" s="15"/>
    </row>
    <row r="29" s="22" customFormat="1" ht="80" customHeight="1" spans="1:10">
      <c r="A29" s="26">
        <v>28</v>
      </c>
      <c r="B29" s="27" t="s">
        <v>71</v>
      </c>
      <c r="C29" s="27" t="s">
        <v>11</v>
      </c>
      <c r="D29" s="27"/>
      <c r="E29" s="15">
        <v>101.05</v>
      </c>
      <c r="F29" s="15">
        <v>1390.45</v>
      </c>
      <c r="G29" s="15" t="str">
        <f>_xlfn.DISPIMG("ID_429810EAF9524DA7B03F6EC0954AA627",1)</f>
        <v>=DISPIMG("ID_429810EAF9524DA7B03F6EC0954AA627",1)</v>
      </c>
      <c r="H29" s="27" t="s">
        <v>17</v>
      </c>
      <c r="I29" s="9" t="s">
        <v>72</v>
      </c>
      <c r="J29" s="15"/>
    </row>
    <row r="30" s="22" customFormat="1" ht="80" customHeight="1" spans="1:10">
      <c r="A30" s="26">
        <v>29</v>
      </c>
      <c r="B30" s="27" t="s">
        <v>73</v>
      </c>
      <c r="C30" s="27" t="s">
        <v>11</v>
      </c>
      <c r="D30" s="27"/>
      <c r="E30" s="15">
        <v>7.1</v>
      </c>
      <c r="F30" s="15">
        <v>97.7</v>
      </c>
      <c r="G30" s="15" t="str">
        <f>_xlfn.DISPIMG("ID_467D1730B82D4587A72F5BDB10F8DA8D",1)</f>
        <v>=DISPIMG("ID_467D1730B82D4587A72F5BDB10F8DA8D",1)</v>
      </c>
      <c r="H30" s="27" t="s">
        <v>17</v>
      </c>
      <c r="I30" s="9" t="s">
        <v>74</v>
      </c>
      <c r="J30" s="15"/>
    </row>
    <row r="31" s="22" customFormat="1" ht="80" customHeight="1" spans="1:10">
      <c r="A31" s="26">
        <v>30</v>
      </c>
      <c r="B31" s="27" t="s">
        <v>75</v>
      </c>
      <c r="C31" s="27" t="s">
        <v>11</v>
      </c>
      <c r="D31" s="27"/>
      <c r="E31" s="15">
        <v>30</v>
      </c>
      <c r="F31" s="15">
        <v>11.24</v>
      </c>
      <c r="G31" s="15" t="str">
        <f>_xlfn.DISPIMG("ID_781D6F8DF038479D8F01ABB1BA3DE5C0",1)</f>
        <v>=DISPIMG("ID_781D6F8DF038479D8F01ABB1BA3DE5C0",1)</v>
      </c>
      <c r="H31" s="27" t="s">
        <v>17</v>
      </c>
      <c r="I31" s="9" t="s">
        <v>76</v>
      </c>
      <c r="J31" s="15"/>
    </row>
    <row r="32" s="22" customFormat="1" ht="181" customHeight="1" spans="1:10">
      <c r="A32" s="26">
        <v>31</v>
      </c>
      <c r="B32" s="27" t="s">
        <v>77</v>
      </c>
      <c r="C32" s="27" t="s">
        <v>11</v>
      </c>
      <c r="D32" s="27"/>
      <c r="E32" s="15">
        <v>100</v>
      </c>
      <c r="F32" s="28">
        <v>2758.64</v>
      </c>
      <c r="G32" s="15" t="str">
        <f>_xlfn.DISPIMG("ID_BD740CF7C5394940AD15F6381A360832",1)</f>
        <v>=DISPIMG("ID_BD740CF7C5394940AD15F6381A360832",1)</v>
      </c>
      <c r="H32" s="27" t="s">
        <v>17</v>
      </c>
      <c r="I32" s="9" t="s">
        <v>78</v>
      </c>
      <c r="J32" s="15"/>
    </row>
    <row r="33" s="22" customFormat="1" ht="185" customHeight="1" spans="1:10">
      <c r="A33" s="26">
        <v>32</v>
      </c>
      <c r="B33" s="27" t="s">
        <v>79</v>
      </c>
      <c r="C33" s="27" t="s">
        <v>11</v>
      </c>
      <c r="D33" s="27"/>
      <c r="E33" s="15">
        <v>200</v>
      </c>
      <c r="F33" s="28">
        <v>2068.08</v>
      </c>
      <c r="G33" s="15" t="str">
        <f>_xlfn.DISPIMG("ID_303B5E465D4142199C1C6FEC53AFFF81",1)</f>
        <v>=DISPIMG("ID_303B5E465D4142199C1C6FEC53AFFF81",1)</v>
      </c>
      <c r="H33" s="27" t="s">
        <v>17</v>
      </c>
      <c r="I33" s="9" t="s">
        <v>80</v>
      </c>
      <c r="J33" s="15"/>
    </row>
    <row r="34" s="22" customFormat="1" ht="178" customHeight="1" spans="1:10">
      <c r="A34" s="26">
        <v>33</v>
      </c>
      <c r="B34" s="27" t="s">
        <v>81</v>
      </c>
      <c r="C34" s="27" t="s">
        <v>82</v>
      </c>
      <c r="D34" s="27"/>
      <c r="E34" s="15">
        <v>20</v>
      </c>
      <c r="F34" s="15">
        <v>0.92</v>
      </c>
      <c r="G34" s="16" t="str">
        <f>_xlfn.DISPIMG("ID_1C55A69B72DB491B9CEA0F2016E67597",1)</f>
        <v>=DISPIMG("ID_1C55A69B72DB491B9CEA0F2016E67597",1)</v>
      </c>
      <c r="H34" s="27" t="s">
        <v>17</v>
      </c>
      <c r="I34" s="9" t="s">
        <v>83</v>
      </c>
      <c r="J34" s="15"/>
    </row>
    <row r="35" s="22" customFormat="1" ht="158" customHeight="1" spans="1:10">
      <c r="A35" s="26">
        <v>34</v>
      </c>
      <c r="B35" s="27" t="s">
        <v>84</v>
      </c>
      <c r="C35" s="27" t="s">
        <v>11</v>
      </c>
      <c r="D35" s="27"/>
      <c r="E35" s="15">
        <v>100</v>
      </c>
      <c r="F35" s="15">
        <v>548.69</v>
      </c>
      <c r="G35" s="15" t="str">
        <f>_xlfn.DISPIMG("ID_82A34DC5BE5A41C28F221BFD640E3C75",1)</f>
        <v>=DISPIMG("ID_82A34DC5BE5A41C28F221BFD640E3C75",1)</v>
      </c>
      <c r="H35" s="27" t="s">
        <v>17</v>
      </c>
      <c r="I35" s="9" t="s">
        <v>85</v>
      </c>
      <c r="J35" s="15"/>
    </row>
    <row r="36" s="22" customFormat="1" ht="187" customHeight="1" spans="1:10">
      <c r="A36" s="26">
        <v>35</v>
      </c>
      <c r="B36" s="27" t="s">
        <v>86</v>
      </c>
      <c r="C36" s="27" t="s">
        <v>11</v>
      </c>
      <c r="D36" s="27"/>
      <c r="E36" s="15">
        <v>86.45</v>
      </c>
      <c r="F36" s="28">
        <v>871.38</v>
      </c>
      <c r="G36" s="15" t="str">
        <f>_xlfn.DISPIMG("ID_F57C9D0FBC4B48B2B2551AB6C29D77A2",1)</f>
        <v>=DISPIMG("ID_F57C9D0FBC4B48B2B2551AB6C29D77A2",1)</v>
      </c>
      <c r="H36" s="27" t="s">
        <v>17</v>
      </c>
      <c r="I36" s="9" t="s">
        <v>87</v>
      </c>
      <c r="J36" s="15"/>
    </row>
    <row r="37" s="22" customFormat="1" ht="166" customHeight="1" spans="1:10">
      <c r="A37" s="26">
        <v>36</v>
      </c>
      <c r="B37" s="27" t="s">
        <v>88</v>
      </c>
      <c r="C37" s="27" t="s">
        <v>11</v>
      </c>
      <c r="D37" s="27"/>
      <c r="E37" s="15">
        <v>200</v>
      </c>
      <c r="F37" s="15">
        <v>2123.8</v>
      </c>
      <c r="G37" s="15" t="str">
        <f>_xlfn.DISPIMG("ID_A0DC04527C074A85A4D9B7204026C363",1)</f>
        <v>=DISPIMG("ID_A0DC04527C074A85A4D9B7204026C363",1)</v>
      </c>
      <c r="H37" s="27" t="s">
        <v>17</v>
      </c>
      <c r="I37" s="9" t="s">
        <v>89</v>
      </c>
      <c r="J37" s="15"/>
    </row>
    <row r="38" s="22" customFormat="1" ht="159" customHeight="1" spans="1:10">
      <c r="A38" s="26">
        <v>37</v>
      </c>
      <c r="B38" s="27" t="s">
        <v>90</v>
      </c>
      <c r="C38" s="27" t="s">
        <v>11</v>
      </c>
      <c r="D38" s="27"/>
      <c r="E38" s="15">
        <v>400</v>
      </c>
      <c r="F38" s="15">
        <v>1825.8</v>
      </c>
      <c r="G38" s="15" t="str">
        <f>_xlfn.DISPIMG("ID_F4FA688843E24516A2E96DAE3976456A",1)</f>
        <v>=DISPIMG("ID_F4FA688843E24516A2E96DAE3976456A",1)</v>
      </c>
      <c r="H38" s="27" t="s">
        <v>17</v>
      </c>
      <c r="I38" s="9" t="s">
        <v>91</v>
      </c>
      <c r="J38" s="15"/>
    </row>
    <row r="39" s="22" customFormat="1" ht="172" customHeight="1" spans="1:10">
      <c r="A39" s="26">
        <v>38</v>
      </c>
      <c r="B39" s="27" t="s">
        <v>92</v>
      </c>
      <c r="C39" s="27" t="s">
        <v>11</v>
      </c>
      <c r="D39" s="27"/>
      <c r="E39" s="15">
        <v>1000</v>
      </c>
      <c r="F39" s="15">
        <v>25622.04</v>
      </c>
      <c r="G39" s="15" t="str">
        <f>_xlfn.DISPIMG("ID_E6C743DA2A4541FE940EA6E885669CAE",1)</f>
        <v>=DISPIMG("ID_E6C743DA2A4541FE940EA6E885669CAE",1)</v>
      </c>
      <c r="H39" s="27" t="s">
        <v>17</v>
      </c>
      <c r="I39" s="9" t="s">
        <v>93</v>
      </c>
      <c r="J39" s="15"/>
    </row>
    <row r="40" s="22" customFormat="1" ht="172" customHeight="1" spans="1:10">
      <c r="A40" s="26">
        <v>39</v>
      </c>
      <c r="B40" s="27" t="s">
        <v>94</v>
      </c>
      <c r="C40" s="27" t="s">
        <v>11</v>
      </c>
      <c r="D40" s="27"/>
      <c r="E40" s="15">
        <v>328.4</v>
      </c>
      <c r="F40" s="15">
        <v>2863.7</v>
      </c>
      <c r="G40" s="15" t="str">
        <f>_xlfn.DISPIMG("ID_1AC79C69B4DE48FC86737387BA8FF433",1)</f>
        <v>=DISPIMG("ID_1AC79C69B4DE48FC86737387BA8FF433",1)</v>
      </c>
      <c r="H40" s="27" t="s">
        <v>17</v>
      </c>
      <c r="I40" s="9" t="s">
        <v>93</v>
      </c>
      <c r="J40" s="15"/>
    </row>
    <row r="41" s="22" customFormat="1" ht="172" customHeight="1" spans="1:10">
      <c r="A41" s="26">
        <v>40</v>
      </c>
      <c r="B41" s="27" t="s">
        <v>95</v>
      </c>
      <c r="C41" s="27" t="s">
        <v>11</v>
      </c>
      <c r="D41" s="27"/>
      <c r="E41" s="15">
        <v>300</v>
      </c>
      <c r="F41" s="15">
        <v>1253.23</v>
      </c>
      <c r="G41" s="15" t="str">
        <f>_xlfn.DISPIMG("ID_940B72F28601449C94D18FB73B830373",1)</f>
        <v>=DISPIMG("ID_940B72F28601449C94D18FB73B830373",1)</v>
      </c>
      <c r="H41" s="27" t="s">
        <v>17</v>
      </c>
      <c r="I41" s="9" t="s">
        <v>96</v>
      </c>
      <c r="J41" s="15"/>
    </row>
    <row r="42" s="22" customFormat="1" ht="172" customHeight="1" spans="1:10">
      <c r="A42" s="26">
        <v>41</v>
      </c>
      <c r="B42" s="27" t="s">
        <v>97</v>
      </c>
      <c r="C42" s="27" t="s">
        <v>11</v>
      </c>
      <c r="D42" s="27"/>
      <c r="E42" s="15">
        <v>2779.95</v>
      </c>
      <c r="F42" s="15">
        <v>96908.62</v>
      </c>
      <c r="G42" s="15" t="str">
        <f>_xlfn.DISPIMG("ID_3D7AF8F21ED94FE0A0CA4283DA9B6AE7",1)</f>
        <v>=DISPIMG("ID_3D7AF8F21ED94FE0A0CA4283DA9B6AE7",1)</v>
      </c>
      <c r="H42" s="27" t="s">
        <v>17</v>
      </c>
      <c r="I42" s="9" t="s">
        <v>98</v>
      </c>
      <c r="J42" s="15"/>
    </row>
    <row r="43" s="22" customFormat="1" ht="172" customHeight="1" spans="1:10">
      <c r="A43" s="26">
        <v>42</v>
      </c>
      <c r="B43" s="27" t="s">
        <v>99</v>
      </c>
      <c r="C43" s="27" t="s">
        <v>11</v>
      </c>
      <c r="D43" s="27"/>
      <c r="E43" s="15">
        <v>200</v>
      </c>
      <c r="F43" s="15">
        <v>1266.94</v>
      </c>
      <c r="G43" s="15" t="str">
        <f>_xlfn.DISPIMG("ID_B0DC27B948654C97BD99859C14688131",1)</f>
        <v>=DISPIMG("ID_B0DC27B948654C97BD99859C14688131",1)</v>
      </c>
      <c r="H43" s="27" t="s">
        <v>17</v>
      </c>
      <c r="I43" s="9" t="s">
        <v>100</v>
      </c>
      <c r="J43" s="15"/>
    </row>
    <row r="44" s="22" customFormat="1" ht="172" customHeight="1" spans="1:10">
      <c r="A44" s="26">
        <v>43</v>
      </c>
      <c r="B44" s="27" t="s">
        <v>101</v>
      </c>
      <c r="C44" s="27" t="s">
        <v>11</v>
      </c>
      <c r="D44" s="27"/>
      <c r="E44" s="15">
        <v>300</v>
      </c>
      <c r="F44" s="15">
        <v>1023.83</v>
      </c>
      <c r="G44" s="15" t="str">
        <f>_xlfn.DISPIMG("ID_F6D61D5D5D5E4D4F834E2111787D1B5E",1)</f>
        <v>=DISPIMG("ID_F6D61D5D5D5E4D4F834E2111787D1B5E",1)</v>
      </c>
      <c r="H44" s="27" t="s">
        <v>17</v>
      </c>
      <c r="I44" s="9" t="s">
        <v>102</v>
      </c>
      <c r="J44" s="15"/>
    </row>
    <row r="45" s="22" customFormat="1" ht="172" customHeight="1" spans="1:10">
      <c r="A45" s="26">
        <v>44</v>
      </c>
      <c r="B45" s="27" t="s">
        <v>103</v>
      </c>
      <c r="C45" s="27" t="s">
        <v>11</v>
      </c>
      <c r="D45" s="27"/>
      <c r="E45" s="15">
        <v>6.9</v>
      </c>
      <c r="F45" s="15">
        <v>47.49</v>
      </c>
      <c r="G45" s="15" t="str">
        <f>_xlfn.DISPIMG("ID_6376C3B56F7C4566BF357FE723CABC2E",1)</f>
        <v>=DISPIMG("ID_6376C3B56F7C4566BF357FE723CABC2E",1)</v>
      </c>
      <c r="H45" s="27" t="s">
        <v>17</v>
      </c>
      <c r="I45" s="9" t="s">
        <v>104</v>
      </c>
      <c r="J45" s="15"/>
    </row>
    <row r="46" s="22" customFormat="1" ht="172" customHeight="1" spans="1:10">
      <c r="A46" s="26">
        <v>45</v>
      </c>
      <c r="B46" s="27" t="s">
        <v>105</v>
      </c>
      <c r="C46" s="27" t="s">
        <v>11</v>
      </c>
      <c r="D46" s="27"/>
      <c r="E46" s="15">
        <v>27.55</v>
      </c>
      <c r="F46" s="15">
        <v>758.16</v>
      </c>
      <c r="G46" s="15" t="str">
        <f>_xlfn.DISPIMG("ID_A70FE44AEC484147B3A1A69907B08455",1)</f>
        <v>=DISPIMG("ID_A70FE44AEC484147B3A1A69907B08455",1)</v>
      </c>
      <c r="H46" s="27" t="s">
        <v>17</v>
      </c>
      <c r="I46" s="9" t="s">
        <v>106</v>
      </c>
      <c r="J46" s="15"/>
    </row>
    <row r="47" s="22" customFormat="1" ht="172" customHeight="1" spans="1:10">
      <c r="A47" s="26">
        <v>46</v>
      </c>
      <c r="B47" s="27" t="s">
        <v>107</v>
      </c>
      <c r="C47" s="27" t="s">
        <v>11</v>
      </c>
      <c r="D47" s="27"/>
      <c r="E47" s="15">
        <v>13.1</v>
      </c>
      <c r="F47" s="15">
        <v>108.2</v>
      </c>
      <c r="G47" s="15" t="str">
        <f>_xlfn.DISPIMG("ID_BD566181B76C4640AA6BAE6E71071C32",1)</f>
        <v>=DISPIMG("ID_BD566181B76C4640AA6BAE6E71071C32",1)</v>
      </c>
      <c r="H47" s="27" t="s">
        <v>17</v>
      </c>
      <c r="I47" s="9" t="s">
        <v>108</v>
      </c>
      <c r="J47" s="15"/>
    </row>
    <row r="48" s="22" customFormat="1" ht="172" customHeight="1" spans="1:10">
      <c r="A48" s="26">
        <v>47</v>
      </c>
      <c r="B48" s="27" t="s">
        <v>109</v>
      </c>
      <c r="C48" s="27" t="s">
        <v>11</v>
      </c>
      <c r="D48" s="27"/>
      <c r="E48" s="15">
        <v>800</v>
      </c>
      <c r="F48" s="15">
        <v>20100.71</v>
      </c>
      <c r="G48" s="15" t="str">
        <f>_xlfn.DISPIMG("ID_93530C4B19584F51B7204FDE3E8C0117",1)</f>
        <v>=DISPIMG("ID_93530C4B19584F51B7204FDE3E8C0117",1)</v>
      </c>
      <c r="H48" s="27" t="s">
        <v>17</v>
      </c>
      <c r="I48" s="9" t="s">
        <v>110</v>
      </c>
      <c r="J48" s="15"/>
    </row>
    <row r="49" s="22" customFormat="1" ht="172" customHeight="1" spans="1:10">
      <c r="A49" s="26">
        <v>48</v>
      </c>
      <c r="B49" s="27" t="s">
        <v>111</v>
      </c>
      <c r="C49" s="27" t="s">
        <v>11</v>
      </c>
      <c r="D49" s="27"/>
      <c r="E49" s="15">
        <v>120</v>
      </c>
      <c r="F49" s="15">
        <v>68.8</v>
      </c>
      <c r="G49" s="15" t="str">
        <f>_xlfn.DISPIMG("ID_A31340DB7A534BA8AC10B197C8DA0437",1)</f>
        <v>=DISPIMG("ID_A31340DB7A534BA8AC10B197C8DA0437",1)</v>
      </c>
      <c r="H49" s="27" t="s">
        <v>17</v>
      </c>
      <c r="I49" s="9" t="s">
        <v>112</v>
      </c>
      <c r="J49" s="15"/>
    </row>
    <row r="50" s="22" customFormat="1" ht="172" customHeight="1" spans="1:10">
      <c r="A50" s="26">
        <v>49</v>
      </c>
      <c r="B50" s="27" t="s">
        <v>113</v>
      </c>
      <c r="C50" s="27" t="s">
        <v>11</v>
      </c>
      <c r="D50" s="27"/>
      <c r="E50" s="15">
        <v>100</v>
      </c>
      <c r="F50" s="15">
        <v>959.31</v>
      </c>
      <c r="G50" s="15" t="str">
        <f>_xlfn.DISPIMG("ID_7EF5159BB8FF41AD82E3278BF096FBF5",1)</f>
        <v>=DISPIMG("ID_7EF5159BB8FF41AD82E3278BF096FBF5",1)</v>
      </c>
      <c r="H50" s="27" t="s">
        <v>17</v>
      </c>
      <c r="I50" s="9" t="s">
        <v>114</v>
      </c>
      <c r="J50" s="15"/>
    </row>
    <row r="51" s="22" customFormat="1" ht="172" customHeight="1" spans="1:10">
      <c r="A51" s="26">
        <v>50</v>
      </c>
      <c r="B51" s="27" t="s">
        <v>115</v>
      </c>
      <c r="C51" s="27" t="s">
        <v>116</v>
      </c>
      <c r="D51" s="27"/>
      <c r="E51" s="15">
        <v>300</v>
      </c>
      <c r="F51" s="15">
        <v>995.5</v>
      </c>
      <c r="G51" s="15" t="str">
        <f>_xlfn.DISPIMG("ID_E2F251A5DF20419CB4DB88308CCA96BC",1)</f>
        <v>=DISPIMG("ID_E2F251A5DF20419CB4DB88308CCA96BC",1)</v>
      </c>
      <c r="H51" s="27" t="s">
        <v>17</v>
      </c>
      <c r="I51" s="9" t="s">
        <v>117</v>
      </c>
      <c r="J51" s="15"/>
    </row>
    <row r="52" s="22" customFormat="1" ht="172" customHeight="1" spans="1:10">
      <c r="A52" s="26">
        <v>51</v>
      </c>
      <c r="B52" s="27" t="s">
        <v>118</v>
      </c>
      <c r="C52" s="27" t="s">
        <v>116</v>
      </c>
      <c r="D52" s="27"/>
      <c r="E52" s="15">
        <v>30</v>
      </c>
      <c r="F52" s="15">
        <v>42.2</v>
      </c>
      <c r="G52" s="15" t="str">
        <f>_xlfn.DISPIMG("ID_E9749B8EC3C849B69AA300A50E272A67",1)</f>
        <v>=DISPIMG("ID_E9749B8EC3C849B69AA300A50E272A67",1)</v>
      </c>
      <c r="H52" s="27" t="s">
        <v>17</v>
      </c>
      <c r="I52" s="9" t="s">
        <v>119</v>
      </c>
      <c r="J52" s="15"/>
    </row>
    <row r="53" s="22" customFormat="1" ht="172" customHeight="1" spans="1:10">
      <c r="A53" s="26">
        <v>52</v>
      </c>
      <c r="B53" s="27" t="s">
        <v>120</v>
      </c>
      <c r="C53" s="27" t="s">
        <v>116</v>
      </c>
      <c r="D53" s="27"/>
      <c r="E53" s="15">
        <v>200</v>
      </c>
      <c r="F53" s="15">
        <v>242.26</v>
      </c>
      <c r="G53" s="15" t="str">
        <f>_xlfn.DISPIMG("ID_581331CEE0C24AD9979DC9001E5F671A",1)</f>
        <v>=DISPIMG("ID_581331CEE0C24AD9979DC9001E5F671A",1)</v>
      </c>
      <c r="H53" s="27" t="s">
        <v>17</v>
      </c>
      <c r="I53" s="9" t="s">
        <v>121</v>
      </c>
      <c r="J53" s="15"/>
    </row>
    <row r="54" s="22" customFormat="1" ht="172" customHeight="1" spans="1:10">
      <c r="A54" s="26">
        <v>53</v>
      </c>
      <c r="B54" s="27" t="s">
        <v>122</v>
      </c>
      <c r="C54" s="27" t="s">
        <v>11</v>
      </c>
      <c r="D54" s="27"/>
      <c r="E54" s="15">
        <v>50</v>
      </c>
      <c r="F54" s="15">
        <v>399.66</v>
      </c>
      <c r="G54" s="15" t="str">
        <f>_xlfn.DISPIMG("ID_3D93FD15A4C24B868A084A7D8CC58C49",1)</f>
        <v>=DISPIMG("ID_3D93FD15A4C24B868A084A7D8CC58C49",1)</v>
      </c>
      <c r="H54" s="27" t="s">
        <v>17</v>
      </c>
      <c r="I54" s="9" t="s">
        <v>123</v>
      </c>
      <c r="J54" s="15"/>
    </row>
    <row r="55" s="22" customFormat="1" ht="172" customHeight="1" spans="1:10">
      <c r="A55" s="26">
        <v>54</v>
      </c>
      <c r="B55" s="27" t="s">
        <v>124</v>
      </c>
      <c r="C55" s="27" t="s">
        <v>11</v>
      </c>
      <c r="D55" s="27"/>
      <c r="E55" s="15">
        <v>50</v>
      </c>
      <c r="F55" s="15">
        <v>2351.01</v>
      </c>
      <c r="G55" s="15" t="str">
        <f>_xlfn.DISPIMG("ID_274190113B9C4778B31786EC8A816016",1)</f>
        <v>=DISPIMG("ID_274190113B9C4778B31786EC8A816016",1)</v>
      </c>
      <c r="H55" s="27" t="s">
        <v>17</v>
      </c>
      <c r="I55" s="9" t="s">
        <v>125</v>
      </c>
      <c r="J55" s="15"/>
    </row>
    <row r="56" s="22" customFormat="1" ht="172" customHeight="1" spans="1:10">
      <c r="A56" s="26">
        <v>55</v>
      </c>
      <c r="B56" s="27" t="s">
        <v>126</v>
      </c>
      <c r="C56" s="27" t="s">
        <v>11</v>
      </c>
      <c r="D56" s="27"/>
      <c r="E56" s="15">
        <v>80</v>
      </c>
      <c r="F56" s="15">
        <v>479.4</v>
      </c>
      <c r="G56" s="15" t="str">
        <f>_xlfn.DISPIMG("ID_9C39620110394EF694898F1D373AE021",1)</f>
        <v>=DISPIMG("ID_9C39620110394EF694898F1D373AE021",1)</v>
      </c>
      <c r="H56" s="27" t="s">
        <v>17</v>
      </c>
      <c r="I56" s="9" t="s">
        <v>123</v>
      </c>
      <c r="J56" s="15"/>
    </row>
    <row r="57" s="22" customFormat="1" ht="172" customHeight="1" spans="1:10">
      <c r="A57" s="26">
        <v>56</v>
      </c>
      <c r="B57" s="31" t="s">
        <v>127</v>
      </c>
      <c r="C57" s="27" t="s">
        <v>11</v>
      </c>
      <c r="D57" s="27"/>
      <c r="E57" s="15">
        <v>80</v>
      </c>
      <c r="F57" s="28">
        <v>33.27</v>
      </c>
      <c r="G57" s="15" t="str">
        <f>_xlfn.DISPIMG("ID_AC9E039CD3524BA8AB0B112103FDFEDF",1)</f>
        <v>=DISPIMG("ID_AC9E039CD3524BA8AB0B112103FDFEDF",1)</v>
      </c>
      <c r="H57" s="27" t="s">
        <v>17</v>
      </c>
      <c r="I57" s="9" t="s">
        <v>128</v>
      </c>
      <c r="J57" s="15"/>
    </row>
    <row r="58" s="22" customFormat="1" ht="172" customHeight="1" spans="1:10">
      <c r="A58" s="26">
        <v>57</v>
      </c>
      <c r="B58" s="27" t="s">
        <v>129</v>
      </c>
      <c r="C58" s="27" t="s">
        <v>11</v>
      </c>
      <c r="D58" s="27"/>
      <c r="E58" s="15">
        <v>1245.75</v>
      </c>
      <c r="F58" s="15">
        <v>3177.83</v>
      </c>
      <c r="G58" s="15" t="str">
        <f>_xlfn.DISPIMG("ID_BD7EDAF471DD474CB938BCE56DAF0A6F",1)</f>
        <v>=DISPIMG("ID_BD7EDAF471DD474CB938BCE56DAF0A6F",1)</v>
      </c>
      <c r="H58" s="27" t="s">
        <v>130</v>
      </c>
      <c r="I58" s="9" t="s">
        <v>131</v>
      </c>
      <c r="J58" s="15"/>
    </row>
    <row r="59" s="22" customFormat="1" ht="172" customHeight="1" spans="1:10">
      <c r="A59" s="26"/>
      <c r="B59" s="32" t="s">
        <v>132</v>
      </c>
      <c r="C59" s="27" t="s">
        <v>11</v>
      </c>
      <c r="D59" s="27"/>
      <c r="E59" s="15">
        <v>50</v>
      </c>
      <c r="F59" s="15"/>
      <c r="G59" s="15"/>
      <c r="H59" s="27" t="s">
        <v>130</v>
      </c>
      <c r="I59" s="9" t="s">
        <v>133</v>
      </c>
      <c r="J59" s="15"/>
    </row>
    <row r="60" s="22" customFormat="1" ht="172" customHeight="1" spans="1:10">
      <c r="A60" s="26"/>
      <c r="B60" s="31" t="s">
        <v>134</v>
      </c>
      <c r="C60" s="27" t="s">
        <v>11</v>
      </c>
      <c r="D60" s="27"/>
      <c r="E60" s="15">
        <v>20</v>
      </c>
      <c r="F60" s="15"/>
      <c r="G60" s="15"/>
      <c r="H60" s="27" t="s">
        <v>130</v>
      </c>
      <c r="I60" s="33" t="s">
        <v>135</v>
      </c>
      <c r="J60" s="15"/>
    </row>
    <row r="61" s="22" customFormat="1" ht="172" customHeight="1" spans="1:10">
      <c r="A61" s="26"/>
      <c r="B61" s="32" t="s">
        <v>136</v>
      </c>
      <c r="C61" s="27" t="s">
        <v>11</v>
      </c>
      <c r="D61" s="27"/>
      <c r="E61" s="15">
        <v>1</v>
      </c>
      <c r="F61" s="15"/>
      <c r="G61" s="15" t="str">
        <f>_xlfn.DISPIMG("ID_0595817BBD184C90B10C100273D8C459",1)</f>
        <v>=DISPIMG("ID_0595817BBD184C90B10C100273D8C459",1)</v>
      </c>
      <c r="H61" s="27" t="s">
        <v>130</v>
      </c>
      <c r="I61" s="9" t="s">
        <v>137</v>
      </c>
      <c r="J61" s="15"/>
    </row>
    <row r="62" s="22" customFormat="1" ht="172" customHeight="1" spans="1:10">
      <c r="A62" s="26"/>
      <c r="B62" s="31" t="s">
        <v>138</v>
      </c>
      <c r="C62" s="27" t="s">
        <v>11</v>
      </c>
      <c r="D62" s="27"/>
      <c r="E62" s="15">
        <v>19</v>
      </c>
      <c r="F62" s="15"/>
      <c r="G62" s="15" t="str">
        <f>_xlfn.DISPIMG("ID_35026698B6D640FD8D978D870ED5A215",1)</f>
        <v>=DISPIMG("ID_35026698B6D640FD8D978D870ED5A215",1)</v>
      </c>
      <c r="H62" s="27" t="s">
        <v>130</v>
      </c>
      <c r="I62" s="9" t="s">
        <v>137</v>
      </c>
      <c r="J62" s="15"/>
    </row>
    <row r="63" s="22" customFormat="1" ht="172" customHeight="1" spans="1:10">
      <c r="A63" s="26"/>
      <c r="B63" s="31" t="s">
        <v>139</v>
      </c>
      <c r="C63" s="27" t="s">
        <v>11</v>
      </c>
      <c r="D63" s="27"/>
      <c r="E63" s="15">
        <v>20</v>
      </c>
      <c r="F63" s="15"/>
      <c r="G63" s="15"/>
      <c r="H63" s="27" t="s">
        <v>130</v>
      </c>
      <c r="I63" s="9" t="s">
        <v>140</v>
      </c>
      <c r="J63" s="15"/>
    </row>
    <row r="64" s="22" customFormat="1" ht="172" customHeight="1" spans="1:10">
      <c r="A64" s="26"/>
      <c r="B64" s="31" t="s">
        <v>141</v>
      </c>
      <c r="C64" s="27" t="s">
        <v>11</v>
      </c>
      <c r="D64" s="27"/>
      <c r="E64" s="15">
        <v>20</v>
      </c>
      <c r="F64" s="15"/>
      <c r="G64" s="15"/>
      <c r="H64" s="27" t="s">
        <v>130</v>
      </c>
      <c r="I64" s="9" t="s">
        <v>142</v>
      </c>
      <c r="J64" s="15"/>
    </row>
    <row r="65" s="22" customFormat="1" ht="172" customHeight="1" spans="1:10">
      <c r="A65" s="26">
        <v>58</v>
      </c>
      <c r="B65" s="27" t="s">
        <v>143</v>
      </c>
      <c r="C65" s="27" t="s">
        <v>11</v>
      </c>
      <c r="D65" s="27"/>
      <c r="E65" s="15">
        <v>50</v>
      </c>
      <c r="F65" s="15">
        <v>181.5</v>
      </c>
      <c r="G65" s="15" t="str">
        <f>_xlfn.DISPIMG("ID_5B1DE3DD2DB3436D904FB35795CBCAAF",1)</f>
        <v>=DISPIMG("ID_5B1DE3DD2DB3436D904FB35795CBCAAF",1)</v>
      </c>
      <c r="H65" s="27" t="s">
        <v>130</v>
      </c>
      <c r="I65" s="9" t="s">
        <v>144</v>
      </c>
      <c r="J65" s="15"/>
    </row>
    <row r="66" s="22" customFormat="1" ht="172" customHeight="1" spans="1:10">
      <c r="A66" s="26">
        <v>59</v>
      </c>
      <c r="B66" s="27" t="s">
        <v>145</v>
      </c>
      <c r="C66" s="27" t="s">
        <v>11</v>
      </c>
      <c r="D66" s="27"/>
      <c r="E66" s="15">
        <v>500</v>
      </c>
      <c r="F66" s="15">
        <v>108.29</v>
      </c>
      <c r="G66" s="15" t="str">
        <f>_xlfn.DISPIMG("ID_5F5B8F86E7A84AA1A4E9099B2B9E2F9C",1)</f>
        <v>=DISPIMG("ID_5F5B8F86E7A84AA1A4E9099B2B9E2F9C",1)</v>
      </c>
      <c r="H66" s="27" t="s">
        <v>130</v>
      </c>
      <c r="I66" s="9" t="s">
        <v>146</v>
      </c>
      <c r="J66" s="15"/>
    </row>
    <row r="67" s="22" customFormat="1" ht="172" customHeight="1" spans="1:10">
      <c r="A67" s="26">
        <v>60</v>
      </c>
      <c r="B67" s="27" t="s">
        <v>147</v>
      </c>
      <c r="C67" s="27" t="s">
        <v>11</v>
      </c>
      <c r="D67" s="27"/>
      <c r="E67" s="15">
        <v>60</v>
      </c>
      <c r="F67" s="15">
        <v>210</v>
      </c>
      <c r="G67" s="15" t="str">
        <f>_xlfn.DISPIMG("ID_2901E2089EEC40D685F61C6A7F823A1D",1)</f>
        <v>=DISPIMG("ID_2901E2089EEC40D685F61C6A7F823A1D",1)</v>
      </c>
      <c r="H67" s="27" t="s">
        <v>130</v>
      </c>
      <c r="I67" s="9" t="s">
        <v>148</v>
      </c>
      <c r="J67" s="15"/>
    </row>
    <row r="68" s="22" customFormat="1" ht="172" customHeight="1" spans="1:10">
      <c r="A68" s="26">
        <v>61</v>
      </c>
      <c r="B68" s="27" t="s">
        <v>149</v>
      </c>
      <c r="C68" s="27" t="s">
        <v>11</v>
      </c>
      <c r="D68" s="27"/>
      <c r="E68" s="15">
        <v>30</v>
      </c>
      <c r="F68" s="15">
        <v>1723.73</v>
      </c>
      <c r="G68" s="15" t="str">
        <f>_xlfn.DISPIMG("ID_C8ECECEA410447918AEFE0BAB72D6FEA",1)</f>
        <v>=DISPIMG("ID_C8ECECEA410447918AEFE0BAB72D6FEA",1)</v>
      </c>
      <c r="H68" s="27" t="s">
        <v>130</v>
      </c>
      <c r="I68" s="9" t="s">
        <v>150</v>
      </c>
      <c r="J68" s="15"/>
    </row>
    <row r="69" s="22" customFormat="1" ht="172" customHeight="1" spans="1:10">
      <c r="A69" s="26">
        <v>62</v>
      </c>
      <c r="B69" s="27" t="s">
        <v>151</v>
      </c>
      <c r="C69" s="27" t="s">
        <v>11</v>
      </c>
      <c r="D69" s="27"/>
      <c r="E69" s="15">
        <v>8320.1</v>
      </c>
      <c r="F69" s="15">
        <v>33529.99</v>
      </c>
      <c r="G69" s="15" t="str">
        <f>_xlfn.DISPIMG("ID_43851B27CB2B47AAA13A63DFD9FBC62E",1)</f>
        <v>=DISPIMG("ID_43851B27CB2B47AAA13A63DFD9FBC62E",1)</v>
      </c>
      <c r="H69" s="27" t="s">
        <v>130</v>
      </c>
      <c r="I69" s="9" t="s">
        <v>152</v>
      </c>
      <c r="J69" s="15"/>
    </row>
    <row r="70" s="22" customFormat="1" ht="172" customHeight="1" spans="1:10">
      <c r="A70" s="26">
        <v>63</v>
      </c>
      <c r="B70" s="27" t="s">
        <v>153</v>
      </c>
      <c r="C70" s="27" t="s">
        <v>11</v>
      </c>
      <c r="D70" s="27"/>
      <c r="E70" s="15">
        <v>0.45</v>
      </c>
      <c r="F70" s="15">
        <v>11.7</v>
      </c>
      <c r="G70" s="15" t="str">
        <f>_xlfn.DISPIMG("ID_FE93468B91A7417287C946134BD0D0C7",1)</f>
        <v>=DISPIMG("ID_FE93468B91A7417287C946134BD0D0C7",1)</v>
      </c>
      <c r="H70" s="27" t="s">
        <v>130</v>
      </c>
      <c r="I70" s="9" t="s">
        <v>154</v>
      </c>
      <c r="J70" s="15"/>
    </row>
    <row r="71" s="22" customFormat="1" ht="172" customHeight="1" spans="1:10">
      <c r="A71" s="26">
        <v>64</v>
      </c>
      <c r="B71" s="27" t="s">
        <v>155</v>
      </c>
      <c r="C71" s="27" t="s">
        <v>11</v>
      </c>
      <c r="D71" s="27"/>
      <c r="E71" s="15">
        <v>300</v>
      </c>
      <c r="F71" s="15">
        <v>1241.03</v>
      </c>
      <c r="G71" s="15" t="str">
        <f>_xlfn.DISPIMG("ID_DC19B8238D71430988170D0BB321CC0B",1)</f>
        <v>=DISPIMG("ID_DC19B8238D71430988170D0BB321CC0B",1)</v>
      </c>
      <c r="H71" s="27" t="s">
        <v>130</v>
      </c>
      <c r="I71" s="9" t="s">
        <v>156</v>
      </c>
      <c r="J71" s="15"/>
    </row>
    <row r="72" s="22" customFormat="1" ht="172" customHeight="1" spans="1:10">
      <c r="A72" s="26">
        <v>65</v>
      </c>
      <c r="B72" s="27" t="s">
        <v>157</v>
      </c>
      <c r="C72" s="27" t="s">
        <v>11</v>
      </c>
      <c r="D72" s="27"/>
      <c r="E72" s="15">
        <v>20</v>
      </c>
      <c r="F72" s="15">
        <v>28.6</v>
      </c>
      <c r="G72" s="15" t="str">
        <f>_xlfn.DISPIMG("ID_B0A36632FE39429FA4BC8B3C88E61680",1)</f>
        <v>=DISPIMG("ID_B0A36632FE39429FA4BC8B3C88E61680",1)</v>
      </c>
      <c r="H72" s="27" t="s">
        <v>130</v>
      </c>
      <c r="I72" s="9" t="s">
        <v>158</v>
      </c>
      <c r="J72" s="15"/>
    </row>
    <row r="73" s="22" customFormat="1" ht="172" customHeight="1" spans="1:10">
      <c r="A73" s="26">
        <v>66</v>
      </c>
      <c r="B73" s="27" t="s">
        <v>159</v>
      </c>
      <c r="C73" s="27" t="s">
        <v>160</v>
      </c>
      <c r="D73" s="27"/>
      <c r="E73" s="15">
        <v>20</v>
      </c>
      <c r="F73" s="15">
        <v>12.22</v>
      </c>
      <c r="G73" s="15" t="str">
        <f>_xlfn.DISPIMG("ID_6465EC3084C84E00B65F5818D254BEE0",1)</f>
        <v>=DISPIMG("ID_6465EC3084C84E00B65F5818D254BEE0",1)</v>
      </c>
      <c r="H73" s="27" t="s">
        <v>130</v>
      </c>
      <c r="I73" s="9" t="s">
        <v>161</v>
      </c>
      <c r="J73" s="15"/>
    </row>
    <row r="74" s="22" customFormat="1" ht="172" customHeight="1" spans="1:10">
      <c r="A74" s="26">
        <v>67</v>
      </c>
      <c r="B74" s="27" t="s">
        <v>162</v>
      </c>
      <c r="C74" s="27" t="s">
        <v>11</v>
      </c>
      <c r="D74" s="27"/>
      <c r="E74" s="15">
        <v>1459.75</v>
      </c>
      <c r="F74" s="15">
        <v>16640.08</v>
      </c>
      <c r="G74" s="15" t="str">
        <f>_xlfn.DISPIMG("ID_965776719E954E69924B3E34A1AC8E5F",1)</f>
        <v>=DISPIMG("ID_965776719E954E69924B3E34A1AC8E5F",1)</v>
      </c>
      <c r="H74" s="27" t="s">
        <v>130</v>
      </c>
      <c r="I74" s="9" t="s">
        <v>163</v>
      </c>
      <c r="J74" s="15"/>
    </row>
    <row r="75" s="22" customFormat="1" ht="172" customHeight="1" spans="1:10">
      <c r="A75" s="26">
        <v>68</v>
      </c>
      <c r="B75" s="27" t="s">
        <v>164</v>
      </c>
      <c r="C75" s="27" t="s">
        <v>11</v>
      </c>
      <c r="D75" s="27"/>
      <c r="E75" s="15">
        <v>50</v>
      </c>
      <c r="F75" s="15">
        <v>6.3</v>
      </c>
      <c r="G75" s="15" t="str">
        <f>_xlfn.DISPIMG("ID_B3862E68FA98471DB9E1909E6A31175C",1)</f>
        <v>=DISPIMG("ID_B3862E68FA98471DB9E1909E6A31175C",1)</v>
      </c>
      <c r="H75" s="27" t="s">
        <v>130</v>
      </c>
      <c r="I75" s="9" t="s">
        <v>165</v>
      </c>
      <c r="J75" s="15"/>
    </row>
    <row r="76" s="22" customFormat="1" ht="172" customHeight="1" spans="1:10">
      <c r="A76" s="26">
        <v>69</v>
      </c>
      <c r="B76" s="27" t="s">
        <v>166</v>
      </c>
      <c r="C76" s="27" t="s">
        <v>11</v>
      </c>
      <c r="D76" s="27"/>
      <c r="E76" s="15">
        <v>13.85</v>
      </c>
      <c r="F76" s="15">
        <v>280.61</v>
      </c>
      <c r="G76" s="15" t="str">
        <f>_xlfn.DISPIMG("ID_5A31EC5149674C509B44730F19BAA0FA",1)</f>
        <v>=DISPIMG("ID_5A31EC5149674C509B44730F19BAA0FA",1)</v>
      </c>
      <c r="H76" s="27" t="s">
        <v>130</v>
      </c>
      <c r="I76" s="9" t="s">
        <v>167</v>
      </c>
      <c r="J76" s="34" t="s">
        <v>168</v>
      </c>
    </row>
    <row r="77" s="22" customFormat="1" ht="172" customHeight="1" spans="1:10">
      <c r="A77" s="26">
        <v>70</v>
      </c>
      <c r="B77" s="27" t="s">
        <v>169</v>
      </c>
      <c r="C77" s="27" t="s">
        <v>11</v>
      </c>
      <c r="D77" s="27"/>
      <c r="E77" s="15">
        <v>21.8</v>
      </c>
      <c r="F77" s="15">
        <v>1094.57</v>
      </c>
      <c r="G77" s="15" t="str">
        <f>_xlfn.DISPIMG("ID_4F842F75ACF04245BD32C586C2E3F083",1)</f>
        <v>=DISPIMG("ID_4F842F75ACF04245BD32C586C2E3F083",1)</v>
      </c>
      <c r="H77" s="27" t="s">
        <v>130</v>
      </c>
      <c r="I77" s="9" t="s">
        <v>170</v>
      </c>
      <c r="J77" s="34" t="s">
        <v>171</v>
      </c>
    </row>
    <row r="78" s="22" customFormat="1" ht="172" customHeight="1" spans="1:10">
      <c r="A78" s="26">
        <v>71</v>
      </c>
      <c r="B78" s="27" t="s">
        <v>172</v>
      </c>
      <c r="C78" s="27" t="s">
        <v>11</v>
      </c>
      <c r="D78" s="27"/>
      <c r="E78" s="15">
        <v>300</v>
      </c>
      <c r="F78" s="15">
        <v>832.73</v>
      </c>
      <c r="G78" s="15" t="str">
        <f>_xlfn.DISPIMG("ID_3ABB36ED023446A58AF1512650E89EFB",1)</f>
        <v>=DISPIMG("ID_3ABB36ED023446A58AF1512650E89EFB",1)</v>
      </c>
      <c r="H78" s="27" t="s">
        <v>130</v>
      </c>
      <c r="I78" s="9" t="s">
        <v>173</v>
      </c>
      <c r="J78" s="15"/>
    </row>
    <row r="79" s="22" customFormat="1" ht="172" customHeight="1" spans="1:10">
      <c r="A79" s="26">
        <v>72</v>
      </c>
      <c r="B79" s="27" t="s">
        <v>174</v>
      </c>
      <c r="C79" s="27" t="s">
        <v>11</v>
      </c>
      <c r="D79" s="27"/>
      <c r="E79" s="15">
        <v>10503.15</v>
      </c>
      <c r="F79" s="15">
        <v>29513.24</v>
      </c>
      <c r="G79" s="15" t="str">
        <f>_xlfn.DISPIMG("ID_B98BD3CF298E4E6DB2FD517C5B7D5B9E",1)</f>
        <v>=DISPIMG("ID_B98BD3CF298E4E6DB2FD517C5B7D5B9E",1)</v>
      </c>
      <c r="H79" s="27" t="s">
        <v>130</v>
      </c>
      <c r="I79" s="9" t="s">
        <v>175</v>
      </c>
      <c r="J79" s="15"/>
    </row>
    <row r="80" s="22" customFormat="1" ht="172" customHeight="1" spans="1:10">
      <c r="A80" s="26">
        <v>73</v>
      </c>
      <c r="B80" s="27" t="s">
        <v>176</v>
      </c>
      <c r="C80" s="27" t="s">
        <v>11</v>
      </c>
      <c r="D80" s="27"/>
      <c r="E80" s="15">
        <v>33.7</v>
      </c>
      <c r="F80" s="15">
        <v>323.52</v>
      </c>
      <c r="G80" s="15" t="str">
        <f>_xlfn.DISPIMG("ID_803C00F92A424840B577A09D369EC6E4",1)</f>
        <v>=DISPIMG("ID_803C00F92A424840B577A09D369EC6E4",1)</v>
      </c>
      <c r="H80" s="27" t="s">
        <v>130</v>
      </c>
      <c r="I80" s="9" t="s">
        <v>177</v>
      </c>
      <c r="J80" s="15"/>
    </row>
    <row r="81" s="22" customFormat="1" ht="172" customHeight="1" spans="1:10">
      <c r="A81" s="26">
        <v>74</v>
      </c>
      <c r="B81" s="27" t="s">
        <v>178</v>
      </c>
      <c r="C81" s="27" t="s">
        <v>11</v>
      </c>
      <c r="D81" s="27"/>
      <c r="E81" s="15">
        <v>1375.25</v>
      </c>
      <c r="F81" s="15">
        <v>13601.21</v>
      </c>
      <c r="G81" s="15" t="str">
        <f>_xlfn.DISPIMG("ID_6F7F8F4647E64D9FB61E31ED97843C47",1)</f>
        <v>=DISPIMG("ID_6F7F8F4647E64D9FB61E31ED97843C47",1)</v>
      </c>
      <c r="H81" s="27" t="s">
        <v>130</v>
      </c>
      <c r="I81" s="9" t="s">
        <v>179</v>
      </c>
      <c r="J81" s="15"/>
    </row>
    <row r="82" s="22" customFormat="1" ht="172" customHeight="1" spans="1:10">
      <c r="A82" s="26">
        <v>75</v>
      </c>
      <c r="B82" s="27" t="s">
        <v>180</v>
      </c>
      <c r="C82" s="27" t="s">
        <v>11</v>
      </c>
      <c r="D82" s="27"/>
      <c r="E82" s="15">
        <v>520.15</v>
      </c>
      <c r="F82" s="15">
        <v>7490.16</v>
      </c>
      <c r="G82" s="15" t="str">
        <f>_xlfn.DISPIMG("ID_FA179FDB72314BE0A5BF72152D48A080",1)</f>
        <v>=DISPIMG("ID_FA179FDB72314BE0A5BF72152D48A080",1)</v>
      </c>
      <c r="H82" s="27" t="s">
        <v>130</v>
      </c>
      <c r="I82" s="9" t="s">
        <v>181</v>
      </c>
      <c r="J82" s="15"/>
    </row>
    <row r="83" s="22" customFormat="1" ht="172" customHeight="1" spans="1:10">
      <c r="A83" s="26">
        <v>76</v>
      </c>
      <c r="B83" s="27" t="s">
        <v>182</v>
      </c>
      <c r="C83" s="27" t="s">
        <v>11</v>
      </c>
      <c r="D83" s="27"/>
      <c r="E83" s="15">
        <v>27.1</v>
      </c>
      <c r="F83" s="15">
        <v>150.95</v>
      </c>
      <c r="G83" s="15" t="str">
        <f>_xlfn.DISPIMG("ID_B57D21B969184DE69C5DE75CF3231DF6",1)</f>
        <v>=DISPIMG("ID_B57D21B969184DE69C5DE75CF3231DF6",1)</v>
      </c>
      <c r="H83" s="27" t="s">
        <v>130</v>
      </c>
      <c r="I83" s="9" t="s">
        <v>183</v>
      </c>
      <c r="J83" s="15"/>
    </row>
    <row r="84" s="22" customFormat="1" ht="172" customHeight="1" spans="1:10">
      <c r="A84" s="26">
        <v>77</v>
      </c>
      <c r="B84" s="27" t="s">
        <v>184</v>
      </c>
      <c r="C84" s="27" t="s">
        <v>11</v>
      </c>
      <c r="D84" s="27"/>
      <c r="E84" s="15">
        <v>8821.75</v>
      </c>
      <c r="F84" s="15">
        <v>25331.39</v>
      </c>
      <c r="G84" s="15" t="str">
        <f>_xlfn.DISPIMG("ID_15F15F5F9A354FE3A49D5EB7D43F7504",1)</f>
        <v>=DISPIMG("ID_15F15F5F9A354FE3A49D5EB7D43F7504",1)</v>
      </c>
      <c r="H84" s="27" t="s">
        <v>130</v>
      </c>
      <c r="I84" s="9" t="s">
        <v>185</v>
      </c>
      <c r="J84" s="15"/>
    </row>
    <row r="85" s="22" customFormat="1" ht="172" customHeight="1" spans="1:10">
      <c r="A85" s="26">
        <v>78</v>
      </c>
      <c r="B85" s="27" t="s">
        <v>186</v>
      </c>
      <c r="C85" s="27" t="s">
        <v>11</v>
      </c>
      <c r="D85" s="27"/>
      <c r="E85" s="15">
        <v>100</v>
      </c>
      <c r="F85" s="15">
        <v>137.56</v>
      </c>
      <c r="G85" s="15" t="str">
        <f>_xlfn.DISPIMG("ID_D1A93D0C705343C887DE4431168AE253",1)</f>
        <v>=DISPIMG("ID_D1A93D0C705343C887DE4431168AE253",1)</v>
      </c>
      <c r="H85" s="27" t="s">
        <v>130</v>
      </c>
      <c r="I85" s="9" t="s">
        <v>187</v>
      </c>
      <c r="J85" s="15"/>
    </row>
    <row r="86" s="22" customFormat="1" ht="172" customHeight="1" spans="1:10">
      <c r="A86" s="26">
        <v>79</v>
      </c>
      <c r="B86" s="27" t="s">
        <v>188</v>
      </c>
      <c r="C86" s="27" t="s">
        <v>11</v>
      </c>
      <c r="D86" s="27"/>
      <c r="E86" s="15">
        <v>80</v>
      </c>
      <c r="F86" s="15">
        <v>1150.46</v>
      </c>
      <c r="G86" s="15" t="str">
        <f>_xlfn.DISPIMG("ID_2019582C34ED49BEB248F312CE0B2D72",1)</f>
        <v>=DISPIMG("ID_2019582C34ED49BEB248F312CE0B2D72",1)</v>
      </c>
      <c r="H86" s="27" t="s">
        <v>130</v>
      </c>
      <c r="I86" s="9" t="s">
        <v>189</v>
      </c>
      <c r="J86" s="15"/>
    </row>
    <row r="87" s="22" customFormat="1" ht="172" customHeight="1" spans="1:10">
      <c r="A87" s="26">
        <v>80</v>
      </c>
      <c r="B87" s="27" t="s">
        <v>190</v>
      </c>
      <c r="C87" s="27" t="s">
        <v>11</v>
      </c>
      <c r="D87" s="27"/>
      <c r="E87" s="15">
        <v>563.95</v>
      </c>
      <c r="F87" s="15">
        <v>4116.85</v>
      </c>
      <c r="G87" s="15" t="str">
        <f>_xlfn.DISPIMG("ID_AB66D5FBF42F4E2B9B68BA43698EF532",1)</f>
        <v>=DISPIMG("ID_AB66D5FBF42F4E2B9B68BA43698EF532",1)</v>
      </c>
      <c r="H87" s="27" t="s">
        <v>130</v>
      </c>
      <c r="I87" s="9" t="s">
        <v>191</v>
      </c>
      <c r="J87" s="15"/>
    </row>
    <row r="88" s="22" customFormat="1" ht="172" customHeight="1" spans="1:10">
      <c r="A88" s="26">
        <v>81</v>
      </c>
      <c r="B88" s="27" t="s">
        <v>192</v>
      </c>
      <c r="C88" s="27" t="s">
        <v>11</v>
      </c>
      <c r="D88" s="27"/>
      <c r="E88" s="15">
        <v>530.25</v>
      </c>
      <c r="F88" s="15">
        <v>3669.37</v>
      </c>
      <c r="G88" s="15" t="str">
        <f>_xlfn.DISPIMG("ID_7245E00D77D5434E9BEBC1CD3E5126A1",1)</f>
        <v>=DISPIMG("ID_7245E00D77D5434E9BEBC1CD3E5126A1",1)</v>
      </c>
      <c r="H88" s="27" t="s">
        <v>130</v>
      </c>
      <c r="I88" s="9" t="s">
        <v>193</v>
      </c>
      <c r="J88" s="15"/>
    </row>
    <row r="89" s="22" customFormat="1" ht="172" customHeight="1" spans="1:10">
      <c r="A89" s="26">
        <v>82</v>
      </c>
      <c r="B89" s="27" t="s">
        <v>194</v>
      </c>
      <c r="C89" s="27" t="s">
        <v>11</v>
      </c>
      <c r="D89" s="27"/>
      <c r="E89" s="15">
        <v>381.35</v>
      </c>
      <c r="F89" s="15">
        <v>4347.39</v>
      </c>
      <c r="G89" s="15" t="str">
        <f>_xlfn.DISPIMG("ID_FC0ACBCBD9BA46F188A6842655330B1E",1)</f>
        <v>=DISPIMG("ID_FC0ACBCBD9BA46F188A6842655330B1E",1)</v>
      </c>
      <c r="H89" s="27" t="s">
        <v>130</v>
      </c>
      <c r="I89" s="9" t="s">
        <v>195</v>
      </c>
      <c r="J89" s="15"/>
    </row>
    <row r="90" s="22" customFormat="1" ht="172" customHeight="1" spans="1:10">
      <c r="A90" s="26">
        <v>83</v>
      </c>
      <c r="B90" s="27" t="s">
        <v>196</v>
      </c>
      <c r="C90" s="27" t="s">
        <v>11</v>
      </c>
      <c r="D90" s="27"/>
      <c r="E90" s="15">
        <v>3197.3</v>
      </c>
      <c r="F90" s="15">
        <v>29670.08</v>
      </c>
      <c r="G90" s="15" t="str">
        <f>_xlfn.DISPIMG("ID_09CA45E6687E498D947BF31284E5191C",1)</f>
        <v>=DISPIMG("ID_09CA45E6687E498D947BF31284E5191C",1)</v>
      </c>
      <c r="H90" s="27" t="s">
        <v>130</v>
      </c>
      <c r="I90" s="9" t="s">
        <v>197</v>
      </c>
      <c r="J90" s="15"/>
    </row>
    <row r="91" s="22" customFormat="1" ht="172" customHeight="1" spans="1:10">
      <c r="A91" s="26">
        <v>84</v>
      </c>
      <c r="B91" s="27" t="s">
        <v>198</v>
      </c>
      <c r="C91" s="27" t="s">
        <v>11</v>
      </c>
      <c r="D91" s="27"/>
      <c r="E91" s="15">
        <v>53.5</v>
      </c>
      <c r="F91" s="15">
        <v>909.5</v>
      </c>
      <c r="G91" s="15" t="str">
        <f>_xlfn.DISPIMG("ID_A70EF3CE54A94AEDA43D2118058D056C",1)</f>
        <v>=DISPIMG("ID_A70EF3CE54A94AEDA43D2118058D056C",1)</v>
      </c>
      <c r="H91" s="27" t="s">
        <v>130</v>
      </c>
      <c r="I91" s="9" t="s">
        <v>199</v>
      </c>
      <c r="J91" s="15"/>
    </row>
    <row r="92" s="22" customFormat="1" ht="172" customHeight="1" spans="1:10">
      <c r="A92" s="26">
        <v>85</v>
      </c>
      <c r="B92" s="27" t="s">
        <v>200</v>
      </c>
      <c r="C92" s="27" t="s">
        <v>11</v>
      </c>
      <c r="D92" s="27"/>
      <c r="E92" s="15">
        <v>3499.65</v>
      </c>
      <c r="F92" s="15">
        <v>41914.62</v>
      </c>
      <c r="G92" s="15" t="str">
        <f>_xlfn.DISPIMG("ID_B57FB0FCA259406C9AD90DA8B0E73B0F",1)</f>
        <v>=DISPIMG("ID_B57FB0FCA259406C9AD90DA8B0E73B0F",1)</v>
      </c>
      <c r="H92" s="27" t="s">
        <v>130</v>
      </c>
      <c r="I92" s="9" t="s">
        <v>201</v>
      </c>
      <c r="J92" s="15"/>
    </row>
    <row r="93" s="22" customFormat="1" ht="172" customHeight="1" spans="1:10">
      <c r="A93" s="26">
        <v>86</v>
      </c>
      <c r="B93" s="27" t="s">
        <v>202</v>
      </c>
      <c r="C93" s="27" t="s">
        <v>11</v>
      </c>
      <c r="D93" s="27"/>
      <c r="E93" s="15">
        <v>5289.2</v>
      </c>
      <c r="F93" s="15">
        <v>58390.12</v>
      </c>
      <c r="G93" s="15" t="str">
        <f>_xlfn.DISPIMG("ID_C1CC0E6666274BC28184C3F13B4C15E8",1)</f>
        <v>=DISPIMG("ID_C1CC0E6666274BC28184C3F13B4C15E8",1)</v>
      </c>
      <c r="H93" s="27" t="s">
        <v>130</v>
      </c>
      <c r="I93" s="9" t="s">
        <v>203</v>
      </c>
      <c r="J93" s="15"/>
    </row>
    <row r="94" s="22" customFormat="1" ht="172" customHeight="1" spans="1:10">
      <c r="A94" s="26">
        <v>87</v>
      </c>
      <c r="B94" s="27" t="s">
        <v>204</v>
      </c>
      <c r="C94" s="27" t="s">
        <v>11</v>
      </c>
      <c r="D94" s="27"/>
      <c r="E94" s="15">
        <v>1.05</v>
      </c>
      <c r="F94" s="15">
        <v>26.21</v>
      </c>
      <c r="G94" s="15" t="str">
        <f>_xlfn.DISPIMG("ID_A46D071CA4B4489EBC014DB7F82A386A",1)</f>
        <v>=DISPIMG("ID_A46D071CA4B4489EBC014DB7F82A386A",1)</v>
      </c>
      <c r="H94" s="27" t="s">
        <v>130</v>
      </c>
      <c r="I94" s="9" t="s">
        <v>205</v>
      </c>
      <c r="J94" s="15"/>
    </row>
    <row r="95" s="22" customFormat="1" ht="172" customHeight="1" spans="1:10">
      <c r="A95" s="26">
        <v>88</v>
      </c>
      <c r="B95" s="27" t="s">
        <v>206</v>
      </c>
      <c r="C95" s="27" t="s">
        <v>11</v>
      </c>
      <c r="D95" s="27"/>
      <c r="E95" s="15">
        <v>174.25</v>
      </c>
      <c r="F95" s="15">
        <v>2239.09</v>
      </c>
      <c r="G95" s="15" t="str">
        <f>_xlfn.DISPIMG("ID_3F6F0A0783D24A88BD713C56B6A88F3D",1)</f>
        <v>=DISPIMG("ID_3F6F0A0783D24A88BD713C56B6A88F3D",1)</v>
      </c>
      <c r="H95" s="27" t="s">
        <v>130</v>
      </c>
      <c r="I95" s="9" t="s">
        <v>207</v>
      </c>
      <c r="J95" s="15"/>
    </row>
    <row r="96" s="22" customFormat="1" ht="172" customHeight="1" spans="1:10">
      <c r="A96" s="26">
        <v>89</v>
      </c>
      <c r="B96" s="27" t="s">
        <v>208</v>
      </c>
      <c r="C96" s="27" t="s">
        <v>11</v>
      </c>
      <c r="D96" s="27"/>
      <c r="E96" s="15">
        <v>188.25</v>
      </c>
      <c r="F96" s="15">
        <v>4312.74</v>
      </c>
      <c r="G96" s="15" t="str">
        <f>_xlfn.DISPIMG("ID_71F097C969AD451082F75487D78A6B98",1)</f>
        <v>=DISPIMG("ID_71F097C969AD451082F75487D78A6B98",1)</v>
      </c>
      <c r="H96" s="27" t="s">
        <v>130</v>
      </c>
      <c r="I96" s="9" t="s">
        <v>209</v>
      </c>
      <c r="J96" s="15"/>
    </row>
    <row r="97" s="22" customFormat="1" ht="172" customHeight="1" spans="1:10">
      <c r="A97" s="26">
        <v>90</v>
      </c>
      <c r="B97" s="27" t="s">
        <v>210</v>
      </c>
      <c r="C97" s="27" t="s">
        <v>11</v>
      </c>
      <c r="D97" s="27"/>
      <c r="E97" s="15">
        <v>293.85</v>
      </c>
      <c r="F97" s="15">
        <v>6770.19000000001</v>
      </c>
      <c r="G97" s="15" t="str">
        <f>_xlfn.DISPIMG("ID_0D04673782C04AA39563C573EBF6D856",1)</f>
        <v>=DISPIMG("ID_0D04673782C04AA39563C573EBF6D856",1)</v>
      </c>
      <c r="H97" s="27" t="s">
        <v>130</v>
      </c>
      <c r="I97" s="9" t="s">
        <v>211</v>
      </c>
      <c r="J97" s="15"/>
    </row>
    <row r="98" s="22" customFormat="1" ht="172" customHeight="1" spans="1:10">
      <c r="A98" s="26">
        <v>91</v>
      </c>
      <c r="B98" s="27" t="s">
        <v>212</v>
      </c>
      <c r="C98" s="27" t="s">
        <v>11</v>
      </c>
      <c r="D98" s="27"/>
      <c r="E98" s="15">
        <v>9877.6</v>
      </c>
      <c r="F98" s="15">
        <v>43659.03</v>
      </c>
      <c r="G98" s="15" t="str">
        <f>_xlfn.DISPIMG("ID_0BCED39CA0F44623AFCB9627FED56FCD",1)</f>
        <v>=DISPIMG("ID_0BCED39CA0F44623AFCB9627FED56FCD",1)</v>
      </c>
      <c r="H98" s="27" t="s">
        <v>130</v>
      </c>
      <c r="I98" s="9" t="s">
        <v>213</v>
      </c>
      <c r="J98" s="15"/>
    </row>
    <row r="99" s="22" customFormat="1" ht="216" customHeight="1" spans="1:10">
      <c r="A99" s="26">
        <v>92</v>
      </c>
      <c r="B99" s="27" t="s">
        <v>214</v>
      </c>
      <c r="C99" s="27" t="s">
        <v>11</v>
      </c>
      <c r="D99" s="27"/>
      <c r="E99" s="15">
        <v>2914.25</v>
      </c>
      <c r="F99" s="15">
        <v>36020.12</v>
      </c>
      <c r="G99" s="15" t="str">
        <f>_xlfn.DISPIMG("ID_49AFD21B5CF5436DB14CFA40E1BF1358",1)</f>
        <v>=DISPIMG("ID_49AFD21B5CF5436DB14CFA40E1BF1358",1)</v>
      </c>
      <c r="H99" s="27" t="s">
        <v>130</v>
      </c>
      <c r="I99" s="9" t="s">
        <v>215</v>
      </c>
      <c r="J99" s="15"/>
    </row>
    <row r="100" s="22" customFormat="1" ht="172" customHeight="1" spans="1:10">
      <c r="A100" s="26">
        <v>93</v>
      </c>
      <c r="B100" s="27" t="s">
        <v>216</v>
      </c>
      <c r="C100" s="27" t="s">
        <v>11</v>
      </c>
      <c r="D100" s="27"/>
      <c r="E100" s="15">
        <v>2624</v>
      </c>
      <c r="F100" s="15">
        <v>38782.88</v>
      </c>
      <c r="G100" s="15" t="str">
        <f>_xlfn.DISPIMG("ID_DA1B4ECE6C7D45C5A4F5BA469ACED891",1)</f>
        <v>=DISPIMG("ID_DA1B4ECE6C7D45C5A4F5BA469ACED891",1)</v>
      </c>
      <c r="H100" s="27" t="s">
        <v>130</v>
      </c>
      <c r="I100" s="9" t="s">
        <v>217</v>
      </c>
      <c r="J100" s="15"/>
    </row>
    <row r="101" s="22" customFormat="1" ht="172" customHeight="1" spans="1:10">
      <c r="A101" s="26">
        <v>94</v>
      </c>
      <c r="B101" s="27" t="s">
        <v>218</v>
      </c>
      <c r="C101" s="27" t="s">
        <v>11</v>
      </c>
      <c r="D101" s="27"/>
      <c r="E101" s="15">
        <v>2201.75</v>
      </c>
      <c r="F101" s="15">
        <v>42471.91</v>
      </c>
      <c r="G101" s="15" t="str">
        <f>_xlfn.DISPIMG("ID_D2D93D5C18394B56B41DF5EE277FCC5D",1)</f>
        <v>=DISPIMG("ID_D2D93D5C18394B56B41DF5EE277FCC5D",1)</v>
      </c>
      <c r="H101" s="27" t="s">
        <v>130</v>
      </c>
      <c r="I101" s="9" t="s">
        <v>219</v>
      </c>
      <c r="J101" s="15"/>
    </row>
    <row r="102" s="22" customFormat="1" ht="172" customHeight="1" spans="1:10">
      <c r="A102" s="26"/>
      <c r="B102" s="31" t="s">
        <v>220</v>
      </c>
      <c r="C102" s="27" t="s">
        <v>11</v>
      </c>
      <c r="D102" s="27"/>
      <c r="E102" s="15">
        <v>30</v>
      </c>
      <c r="F102" s="15"/>
      <c r="G102" s="15"/>
      <c r="H102" s="27" t="s">
        <v>130</v>
      </c>
      <c r="I102" s="33" t="s">
        <v>221</v>
      </c>
      <c r="J102" s="15"/>
    </row>
    <row r="103" s="22" customFormat="1" ht="172" customHeight="1" spans="1:10">
      <c r="A103" s="26">
        <v>95</v>
      </c>
      <c r="B103" s="27" t="s">
        <v>222</v>
      </c>
      <c r="C103" s="27" t="s">
        <v>11</v>
      </c>
      <c r="D103" s="27"/>
      <c r="E103" s="15">
        <v>11658.35</v>
      </c>
      <c r="F103" s="15">
        <v>47028</v>
      </c>
      <c r="G103" s="15" t="str">
        <f>_xlfn.DISPIMG("ID_BB5931A1949D4E0B82BC6081966106DE",1)</f>
        <v>=DISPIMG("ID_BB5931A1949D4E0B82BC6081966106DE",1)</v>
      </c>
      <c r="H103" s="27" t="s">
        <v>130</v>
      </c>
      <c r="I103" s="9" t="s">
        <v>223</v>
      </c>
      <c r="J103" s="15"/>
    </row>
    <row r="104" s="22" customFormat="1" ht="172" customHeight="1" spans="1:10">
      <c r="A104" s="26">
        <v>96</v>
      </c>
      <c r="B104" s="27" t="s">
        <v>224</v>
      </c>
      <c r="C104" s="27" t="s">
        <v>11</v>
      </c>
      <c r="D104" s="27"/>
      <c r="E104" s="15">
        <v>35.05</v>
      </c>
      <c r="F104" s="15">
        <v>259.02</v>
      </c>
      <c r="G104" s="15" t="str">
        <f>_xlfn.DISPIMG("ID_19005F663B7D403DBC5659555FB0BAC0",1)</f>
        <v>=DISPIMG("ID_19005F663B7D403DBC5659555FB0BAC0",1)</v>
      </c>
      <c r="H104" s="27" t="s">
        <v>130</v>
      </c>
      <c r="I104" s="9" t="s">
        <v>225</v>
      </c>
      <c r="J104" s="15"/>
    </row>
    <row r="105" s="22" customFormat="1" ht="172" customHeight="1" spans="1:10">
      <c r="A105" s="26">
        <v>97</v>
      </c>
      <c r="B105" s="27" t="s">
        <v>226</v>
      </c>
      <c r="C105" s="27" t="s">
        <v>11</v>
      </c>
      <c r="D105" s="27"/>
      <c r="E105" s="15">
        <v>1673.95</v>
      </c>
      <c r="F105" s="15">
        <v>12429.04</v>
      </c>
      <c r="G105" s="15" t="str">
        <f>_xlfn.DISPIMG("ID_D3BD7E9BD78E41DBA0A3D44FC9804E4C",1)</f>
        <v>=DISPIMG("ID_D3BD7E9BD78E41DBA0A3D44FC9804E4C",1)</v>
      </c>
      <c r="H105" s="27" t="s">
        <v>130</v>
      </c>
      <c r="I105" s="9" t="s">
        <v>227</v>
      </c>
      <c r="J105" s="15"/>
    </row>
    <row r="106" s="22" customFormat="1" ht="172" customHeight="1" spans="1:10">
      <c r="A106" s="26">
        <v>98</v>
      </c>
      <c r="B106" s="27" t="s">
        <v>228</v>
      </c>
      <c r="C106" s="27" t="s">
        <v>11</v>
      </c>
      <c r="D106" s="27"/>
      <c r="E106" s="15">
        <v>391.6</v>
      </c>
      <c r="F106" s="15">
        <v>7518.72</v>
      </c>
      <c r="G106" s="15" t="str">
        <f>_xlfn.DISPIMG("ID_D986C0752506491494F903E2A62FDE18",1)</f>
        <v>=DISPIMG("ID_D986C0752506491494F903E2A62FDE18",1)</v>
      </c>
      <c r="H106" s="27" t="s">
        <v>130</v>
      </c>
      <c r="I106" s="9" t="s">
        <v>229</v>
      </c>
      <c r="J106" s="15"/>
    </row>
    <row r="107" s="22" customFormat="1" ht="172" customHeight="1" spans="1:10">
      <c r="A107" s="26">
        <v>99</v>
      </c>
      <c r="B107" s="27" t="s">
        <v>230</v>
      </c>
      <c r="C107" s="27" t="s">
        <v>11</v>
      </c>
      <c r="D107" s="27"/>
      <c r="E107" s="15">
        <v>4500.5</v>
      </c>
      <c r="F107" s="15">
        <v>13816.55</v>
      </c>
      <c r="G107" s="15" t="str">
        <f>_xlfn.DISPIMG("ID_CBF4BBEA728B4E98B98F42B097A43E33",1)</f>
        <v>=DISPIMG("ID_CBF4BBEA728B4E98B98F42B097A43E33",1)</v>
      </c>
      <c r="H107" s="27" t="s">
        <v>130</v>
      </c>
      <c r="I107" s="9" t="s">
        <v>231</v>
      </c>
      <c r="J107" s="15"/>
    </row>
    <row r="108" s="22" customFormat="1" ht="172" customHeight="1" spans="1:10">
      <c r="A108" s="26">
        <v>100</v>
      </c>
      <c r="B108" s="27" t="s">
        <v>232</v>
      </c>
      <c r="C108" s="27" t="s">
        <v>11</v>
      </c>
      <c r="D108" s="27"/>
      <c r="E108" s="15">
        <v>11484.1</v>
      </c>
      <c r="F108" s="15">
        <v>79139.17</v>
      </c>
      <c r="G108" s="15" t="str">
        <f>_xlfn.DISPIMG("ID_CE6DFDD65E474083B6690BF992A6A22F",1)</f>
        <v>=DISPIMG("ID_CE6DFDD65E474083B6690BF992A6A22F",1)</v>
      </c>
      <c r="H108" s="27" t="s">
        <v>130</v>
      </c>
      <c r="I108" s="9" t="s">
        <v>233</v>
      </c>
      <c r="J108" s="15"/>
    </row>
    <row r="109" s="22" customFormat="1" ht="172" customHeight="1" spans="1:10">
      <c r="A109" s="26">
        <v>101</v>
      </c>
      <c r="B109" s="27" t="s">
        <v>234</v>
      </c>
      <c r="C109" s="27" t="s">
        <v>11</v>
      </c>
      <c r="D109" s="27"/>
      <c r="E109" s="15">
        <v>1104.45</v>
      </c>
      <c r="F109" s="15">
        <v>23804.91</v>
      </c>
      <c r="G109" s="15" t="str">
        <f>_xlfn.DISPIMG("ID_7F0CFF5FE4AE404C88CDA03E087CB60D",1)</f>
        <v>=DISPIMG("ID_7F0CFF5FE4AE404C88CDA03E087CB60D",1)</v>
      </c>
      <c r="H109" s="27" t="s">
        <v>130</v>
      </c>
      <c r="I109" s="9" t="s">
        <v>235</v>
      </c>
      <c r="J109" s="15"/>
    </row>
    <row r="110" s="22" customFormat="1" ht="172" customHeight="1" spans="1:10">
      <c r="A110" s="26">
        <v>102</v>
      </c>
      <c r="B110" s="31" t="s">
        <v>236</v>
      </c>
      <c r="C110" s="27" t="s">
        <v>11</v>
      </c>
      <c r="D110" s="27"/>
      <c r="E110" s="15">
        <v>1</v>
      </c>
      <c r="F110" s="15">
        <v>30.72</v>
      </c>
      <c r="G110" s="15" t="str">
        <f>_xlfn.DISPIMG("ID_EEBED9548C2F4AC3907B23C63DB2C61B",1)</f>
        <v>=DISPIMG("ID_EEBED9548C2F4AC3907B23C63DB2C61B",1)</v>
      </c>
      <c r="H110" s="27" t="s">
        <v>130</v>
      </c>
      <c r="I110" s="9" t="s">
        <v>225</v>
      </c>
      <c r="J110" s="15"/>
    </row>
    <row r="111" s="22" customFormat="1" ht="172" customHeight="1" spans="1:10">
      <c r="A111" s="26">
        <v>103</v>
      </c>
      <c r="B111" s="27" t="s">
        <v>237</v>
      </c>
      <c r="C111" s="27" t="s">
        <v>11</v>
      </c>
      <c r="D111" s="27"/>
      <c r="E111" s="15">
        <v>20</v>
      </c>
      <c r="F111" s="15">
        <v>30</v>
      </c>
      <c r="G111" s="15" t="str">
        <f>_xlfn.DISPIMG("ID_71693E6BAB8940C2B47FFBF073055907",1)</f>
        <v>=DISPIMG("ID_71693E6BAB8940C2B47FFBF073055907",1)</v>
      </c>
      <c r="H111" s="27" t="s">
        <v>130</v>
      </c>
      <c r="I111" s="9" t="s">
        <v>238</v>
      </c>
      <c r="J111" s="15"/>
    </row>
    <row r="112" s="22" customFormat="1" ht="172" customHeight="1" spans="1:10">
      <c r="A112" s="26">
        <v>104</v>
      </c>
      <c r="B112" s="27" t="s">
        <v>239</v>
      </c>
      <c r="C112" s="27" t="s">
        <v>11</v>
      </c>
      <c r="D112" s="27"/>
      <c r="E112" s="15">
        <v>20</v>
      </c>
      <c r="F112" s="15">
        <v>25.2</v>
      </c>
      <c r="G112" s="15" t="str">
        <f>_xlfn.DISPIMG("ID_C7CFC0643BCE43F89E537758CD663AE0",1)</f>
        <v>=DISPIMG("ID_C7CFC0643BCE43F89E537758CD663AE0",1)</v>
      </c>
      <c r="H112" s="27" t="s">
        <v>130</v>
      </c>
      <c r="I112" s="9" t="s">
        <v>240</v>
      </c>
      <c r="J112" s="15"/>
    </row>
    <row r="113" s="22" customFormat="1" ht="172" customHeight="1" spans="1:10">
      <c r="A113" s="26">
        <v>105</v>
      </c>
      <c r="B113" s="27" t="s">
        <v>241</v>
      </c>
      <c r="C113" s="27" t="s">
        <v>11</v>
      </c>
      <c r="D113" s="27"/>
      <c r="E113" s="15">
        <v>100</v>
      </c>
      <c r="F113" s="15">
        <v>9.3</v>
      </c>
      <c r="G113" s="15" t="str">
        <f>_xlfn.DISPIMG("ID_0ABD1ED8A36F4A2F9437A3718174AB1F",1)</f>
        <v>=DISPIMG("ID_0ABD1ED8A36F4A2F9437A3718174AB1F",1)</v>
      </c>
      <c r="H113" s="27" t="s">
        <v>130</v>
      </c>
      <c r="I113" s="9" t="s">
        <v>242</v>
      </c>
      <c r="J113" s="15"/>
    </row>
    <row r="114" s="22" customFormat="1" ht="172" customHeight="1" spans="1:10">
      <c r="A114" s="26">
        <v>106</v>
      </c>
      <c r="B114" s="27" t="s">
        <v>243</v>
      </c>
      <c r="C114" s="27" t="s">
        <v>11</v>
      </c>
      <c r="D114" s="27"/>
      <c r="E114" s="15">
        <v>493.9</v>
      </c>
      <c r="F114" s="15">
        <v>5121.68</v>
      </c>
      <c r="G114" s="15" t="str">
        <f>_xlfn.DISPIMG("ID_51FA0DAAAFA64CEE8D2E32AEE16E4221",1)</f>
        <v>=DISPIMG("ID_51FA0DAAAFA64CEE8D2E32AEE16E4221",1)</v>
      </c>
      <c r="H114" s="27" t="s">
        <v>130</v>
      </c>
      <c r="I114" s="9" t="s">
        <v>244</v>
      </c>
      <c r="J114" s="15"/>
    </row>
    <row r="115" s="22" customFormat="1" ht="172" customHeight="1" spans="1:10">
      <c r="A115" s="26">
        <v>107</v>
      </c>
      <c r="B115" s="27" t="s">
        <v>245</v>
      </c>
      <c r="C115" s="27" t="s">
        <v>11</v>
      </c>
      <c r="D115" s="27"/>
      <c r="E115" s="15">
        <v>656.4</v>
      </c>
      <c r="F115" s="15">
        <v>5257.75</v>
      </c>
      <c r="G115" s="15" t="str">
        <f>_xlfn.DISPIMG("ID_9AA64CB1FCC54286BEA72F95F261B35E",1)</f>
        <v>=DISPIMG("ID_9AA64CB1FCC54286BEA72F95F261B35E",1)</v>
      </c>
      <c r="H115" s="27" t="s">
        <v>130</v>
      </c>
      <c r="I115" s="9" t="s">
        <v>246</v>
      </c>
      <c r="J115" s="15"/>
    </row>
    <row r="116" s="22" customFormat="1" ht="172" customHeight="1" spans="1:10">
      <c r="A116" s="26">
        <v>108</v>
      </c>
      <c r="B116" s="27" t="s">
        <v>247</v>
      </c>
      <c r="C116" s="27" t="s">
        <v>11</v>
      </c>
      <c r="D116" s="27"/>
      <c r="E116" s="15">
        <v>300.85</v>
      </c>
      <c r="F116" s="15">
        <v>1964.57</v>
      </c>
      <c r="G116" s="15" t="str">
        <f>_xlfn.DISPIMG("ID_4508252B0E14484DA99AF03B8B94B68F",1)</f>
        <v>=DISPIMG("ID_4508252B0E14484DA99AF03B8B94B68F",1)</v>
      </c>
      <c r="H116" s="27" t="s">
        <v>130</v>
      </c>
      <c r="I116" s="9" t="s">
        <v>248</v>
      </c>
      <c r="J116" s="15"/>
    </row>
    <row r="117" s="22" customFormat="1" ht="172" customHeight="1" spans="1:10">
      <c r="A117" s="26">
        <v>109</v>
      </c>
      <c r="B117" s="27" t="s">
        <v>249</v>
      </c>
      <c r="C117" s="27" t="s">
        <v>11</v>
      </c>
      <c r="D117" s="27"/>
      <c r="E117" s="15">
        <v>13800.2</v>
      </c>
      <c r="F117" s="15">
        <v>134117.69</v>
      </c>
      <c r="G117" s="15" t="str">
        <f>_xlfn.DISPIMG("ID_867D0B5FA1994389B9357C249C3B3F3F",1)</f>
        <v>=DISPIMG("ID_867D0B5FA1994389B9357C249C3B3F3F",1)</v>
      </c>
      <c r="H117" s="27" t="s">
        <v>130</v>
      </c>
      <c r="I117" s="9" t="s">
        <v>250</v>
      </c>
      <c r="J117" s="15"/>
    </row>
    <row r="118" s="22" customFormat="1" ht="172" customHeight="1" spans="1:10">
      <c r="A118" s="26">
        <v>110</v>
      </c>
      <c r="B118" s="27" t="s">
        <v>251</v>
      </c>
      <c r="C118" s="27" t="s">
        <v>11</v>
      </c>
      <c r="D118" s="27"/>
      <c r="E118" s="15">
        <v>127.7</v>
      </c>
      <c r="F118" s="15">
        <v>1961.43</v>
      </c>
      <c r="G118" s="15" t="str">
        <f>_xlfn.DISPIMG("ID_3E9CF64A12824AE0A61AA69884664DBC",1)</f>
        <v>=DISPIMG("ID_3E9CF64A12824AE0A61AA69884664DBC",1)</v>
      </c>
      <c r="H118" s="27" t="s">
        <v>130</v>
      </c>
      <c r="I118" s="9" t="s">
        <v>252</v>
      </c>
      <c r="J118" s="15"/>
    </row>
    <row r="119" s="22" customFormat="1" ht="172" customHeight="1" spans="1:10">
      <c r="A119" s="26">
        <v>111</v>
      </c>
      <c r="B119" s="27" t="s">
        <v>253</v>
      </c>
      <c r="C119" s="27" t="s">
        <v>11</v>
      </c>
      <c r="D119" s="27"/>
      <c r="E119" s="15">
        <v>50</v>
      </c>
      <c r="F119" s="15">
        <v>31.94</v>
      </c>
      <c r="G119" s="15" t="str">
        <f>_xlfn.DISPIMG("ID_5CC5C936540441768014E5A5E374F88E",1)</f>
        <v>=DISPIMG("ID_5CC5C936540441768014E5A5E374F88E",1)</v>
      </c>
      <c r="H119" s="27" t="s">
        <v>130</v>
      </c>
      <c r="I119" s="9" t="s">
        <v>254</v>
      </c>
      <c r="J119" s="15"/>
    </row>
    <row r="120" s="22" customFormat="1" ht="172" customHeight="1" spans="1:10">
      <c r="A120" s="26">
        <v>112</v>
      </c>
      <c r="B120" s="27" t="s">
        <v>255</v>
      </c>
      <c r="C120" s="27" t="s">
        <v>11</v>
      </c>
      <c r="D120" s="27"/>
      <c r="E120" s="15">
        <v>963.35</v>
      </c>
      <c r="F120" s="15">
        <v>9806.92</v>
      </c>
      <c r="G120" s="15" t="str">
        <f>_xlfn.DISPIMG("ID_E6B3B1D2773E496298347FB3E5B1518C",1)</f>
        <v>=DISPIMG("ID_E6B3B1D2773E496298347FB3E5B1518C",1)</v>
      </c>
      <c r="H120" s="27" t="s">
        <v>130</v>
      </c>
      <c r="I120" s="9" t="s">
        <v>256</v>
      </c>
      <c r="J120" s="15"/>
    </row>
    <row r="121" s="22" customFormat="1" ht="172" customHeight="1" spans="1:10">
      <c r="A121" s="26">
        <v>113</v>
      </c>
      <c r="B121" s="27" t="s">
        <v>257</v>
      </c>
      <c r="C121" s="27" t="s">
        <v>11</v>
      </c>
      <c r="D121" s="27"/>
      <c r="E121" s="15">
        <v>9156.65</v>
      </c>
      <c r="F121" s="15">
        <v>74039.64</v>
      </c>
      <c r="G121" s="15" t="str">
        <f>_xlfn.DISPIMG("ID_28B4A078A2E64FA296CD99315B571243",1)</f>
        <v>=DISPIMG("ID_28B4A078A2E64FA296CD99315B571243",1)</v>
      </c>
      <c r="H121" s="27" t="s">
        <v>130</v>
      </c>
      <c r="I121" s="9" t="s">
        <v>258</v>
      </c>
      <c r="J121" s="15"/>
    </row>
    <row r="122" s="22" customFormat="1" ht="172" customHeight="1" spans="1:10">
      <c r="A122" s="26">
        <v>114</v>
      </c>
      <c r="B122" s="27" t="s">
        <v>259</v>
      </c>
      <c r="C122" s="27" t="s">
        <v>11</v>
      </c>
      <c r="D122" s="27"/>
      <c r="E122" s="15">
        <v>0.55</v>
      </c>
      <c r="F122" s="15">
        <v>3.27</v>
      </c>
      <c r="G122" s="15" t="str">
        <f>_xlfn.DISPIMG("ID_9FD502A00609415CBD406D4501D94543",1)</f>
        <v>=DISPIMG("ID_9FD502A00609415CBD406D4501D94543",1)</v>
      </c>
      <c r="H122" s="27" t="s">
        <v>130</v>
      </c>
      <c r="I122" s="9" t="s">
        <v>260</v>
      </c>
      <c r="J122" s="15"/>
    </row>
    <row r="123" s="22" customFormat="1" ht="172" customHeight="1" spans="1:10">
      <c r="A123" s="26">
        <v>115</v>
      </c>
      <c r="B123" s="27" t="s">
        <v>261</v>
      </c>
      <c r="C123" s="27" t="s">
        <v>11</v>
      </c>
      <c r="D123" s="27"/>
      <c r="E123" s="15">
        <v>3.35</v>
      </c>
      <c r="F123" s="15">
        <v>79.5</v>
      </c>
      <c r="G123" s="15" t="str">
        <f>_xlfn.DISPIMG("ID_280B40F8CE6849718E9819A4C7789D43",1)</f>
        <v>=DISPIMG("ID_280B40F8CE6849718E9819A4C7789D43",1)</v>
      </c>
      <c r="H123" s="27" t="s">
        <v>130</v>
      </c>
      <c r="I123" s="9" t="s">
        <v>262</v>
      </c>
      <c r="J123" s="15"/>
    </row>
    <row r="124" s="22" customFormat="1" ht="172" customHeight="1" spans="1:10">
      <c r="A124" s="26">
        <v>116</v>
      </c>
      <c r="B124" s="27" t="s">
        <v>263</v>
      </c>
      <c r="C124" s="27" t="s">
        <v>11</v>
      </c>
      <c r="D124" s="27"/>
      <c r="E124" s="15">
        <v>2447.5</v>
      </c>
      <c r="F124" s="15">
        <v>61087.88</v>
      </c>
      <c r="G124" s="15" t="str">
        <f>_xlfn.DISPIMG("ID_8C474B06F7C24032BCF8451EF4CC7E08",1)</f>
        <v>=DISPIMG("ID_8C474B06F7C24032BCF8451EF4CC7E08",1)</v>
      </c>
      <c r="H124" s="27" t="s">
        <v>130</v>
      </c>
      <c r="I124" s="9" t="s">
        <v>264</v>
      </c>
      <c r="J124" s="15"/>
    </row>
    <row r="125" s="22" customFormat="1" ht="172" customHeight="1" spans="1:10">
      <c r="A125" s="26">
        <v>117</v>
      </c>
      <c r="B125" s="27" t="s">
        <v>265</v>
      </c>
      <c r="C125" s="27" t="s">
        <v>11</v>
      </c>
      <c r="D125" s="27"/>
      <c r="E125" s="15">
        <v>13046.9</v>
      </c>
      <c r="F125" s="15">
        <v>45142.33</v>
      </c>
      <c r="G125" s="15" t="str">
        <f>_xlfn.DISPIMG("ID_8F63F789C8484912816507E39AD932E4",1)</f>
        <v>=DISPIMG("ID_8F63F789C8484912816507E39AD932E4",1)</v>
      </c>
      <c r="H125" s="27" t="s">
        <v>130</v>
      </c>
      <c r="I125" s="9" t="s">
        <v>266</v>
      </c>
      <c r="J125" s="15"/>
    </row>
    <row r="126" s="22" customFormat="1" ht="172" customHeight="1" spans="1:10">
      <c r="A126" s="26">
        <v>118</v>
      </c>
      <c r="B126" s="27" t="s">
        <v>267</v>
      </c>
      <c r="C126" s="27" t="s">
        <v>11</v>
      </c>
      <c r="D126" s="27"/>
      <c r="E126" s="15">
        <v>20</v>
      </c>
      <c r="F126" s="15">
        <v>50</v>
      </c>
      <c r="G126" s="15" t="str">
        <f>_xlfn.DISPIMG("ID_9F5BA2C59D8F44C19F1A340816467F85",1)</f>
        <v>=DISPIMG("ID_9F5BA2C59D8F44C19F1A340816467F85",1)</v>
      </c>
      <c r="H126" s="27" t="s">
        <v>130</v>
      </c>
      <c r="I126" s="9" t="s">
        <v>268</v>
      </c>
      <c r="J126" s="15"/>
    </row>
    <row r="127" s="22" customFormat="1" ht="172" customHeight="1" spans="1:10">
      <c r="A127" s="26">
        <v>119</v>
      </c>
      <c r="B127" s="27" t="s">
        <v>269</v>
      </c>
      <c r="C127" s="27" t="s">
        <v>11</v>
      </c>
      <c r="D127" s="27"/>
      <c r="E127" s="15">
        <v>140.85</v>
      </c>
      <c r="F127" s="15">
        <v>3612.72</v>
      </c>
      <c r="G127" s="15" t="str">
        <f>_xlfn.DISPIMG("ID_B17F860AFDA7439E8DF00979F0A85446",1)</f>
        <v>=DISPIMG("ID_B17F860AFDA7439E8DF00979F0A85446",1)</v>
      </c>
      <c r="H127" s="27" t="s">
        <v>130</v>
      </c>
      <c r="I127" s="9" t="s">
        <v>270</v>
      </c>
      <c r="J127" s="15"/>
    </row>
    <row r="128" s="22" customFormat="1" ht="172" customHeight="1" spans="1:10">
      <c r="A128" s="26">
        <v>120</v>
      </c>
      <c r="B128" s="27" t="s">
        <v>271</v>
      </c>
      <c r="C128" s="27" t="s">
        <v>11</v>
      </c>
      <c r="D128" s="27"/>
      <c r="E128" s="15">
        <v>100</v>
      </c>
      <c r="F128" s="15">
        <v>7.8</v>
      </c>
      <c r="G128" s="15" t="str">
        <f>_xlfn.DISPIMG("ID_B2E735D4AC6A479BBD4A136D5894C5F6",1)</f>
        <v>=DISPIMG("ID_B2E735D4AC6A479BBD4A136D5894C5F6",1)</v>
      </c>
      <c r="H128" s="27" t="s">
        <v>130</v>
      </c>
      <c r="I128" s="9" t="s">
        <v>272</v>
      </c>
      <c r="J128" s="15"/>
    </row>
    <row r="129" s="22" customFormat="1" ht="172" customHeight="1" spans="1:10">
      <c r="A129" s="26">
        <v>121</v>
      </c>
      <c r="B129" s="27" t="s">
        <v>273</v>
      </c>
      <c r="C129" s="27" t="s">
        <v>11</v>
      </c>
      <c r="D129" s="27"/>
      <c r="E129" s="15">
        <v>4663.15</v>
      </c>
      <c r="F129" s="15">
        <v>10072.47</v>
      </c>
      <c r="G129" s="15" t="str">
        <f>_xlfn.DISPIMG("ID_958AE8DB3D5249AEB11519B71FC5563B",1)</f>
        <v>=DISPIMG("ID_958AE8DB3D5249AEB11519B71FC5563B",1)</v>
      </c>
      <c r="H129" s="27" t="s">
        <v>130</v>
      </c>
      <c r="I129" s="9" t="s">
        <v>274</v>
      </c>
      <c r="J129" s="15"/>
    </row>
    <row r="130" s="22" customFormat="1" ht="172" customHeight="1" spans="1:10">
      <c r="A130" s="26">
        <v>122</v>
      </c>
      <c r="B130" s="27" t="s">
        <v>275</v>
      </c>
      <c r="C130" s="27" t="s">
        <v>11</v>
      </c>
      <c r="D130" s="27"/>
      <c r="E130" s="15">
        <v>3373.65</v>
      </c>
      <c r="F130" s="15">
        <v>10357.13</v>
      </c>
      <c r="G130" s="15" t="str">
        <f>_xlfn.DISPIMG("ID_320EF952855146A187C696D8C23FE049",1)</f>
        <v>=DISPIMG("ID_320EF952855146A187C696D8C23FE049",1)</v>
      </c>
      <c r="H130" s="27" t="s">
        <v>130</v>
      </c>
      <c r="I130" s="9" t="s">
        <v>276</v>
      </c>
      <c r="J130" s="15"/>
    </row>
    <row r="131" s="22" customFormat="1" ht="172" customHeight="1" spans="1:10">
      <c r="A131" s="26">
        <v>123</v>
      </c>
      <c r="B131" s="27" t="s">
        <v>277</v>
      </c>
      <c r="C131" s="27" t="s">
        <v>11</v>
      </c>
      <c r="D131" s="27"/>
      <c r="E131" s="15">
        <v>246.6</v>
      </c>
      <c r="F131" s="15">
        <v>2073.9</v>
      </c>
      <c r="G131" s="15" t="str">
        <f>_xlfn.DISPIMG("ID_46C6227F282D4CAD866F0C7B556A1D64",1)</f>
        <v>=DISPIMG("ID_46C6227F282D4CAD866F0C7B556A1D64",1)</v>
      </c>
      <c r="H131" s="27" t="s">
        <v>130</v>
      </c>
      <c r="I131" s="9" t="s">
        <v>278</v>
      </c>
      <c r="J131" s="15"/>
    </row>
    <row r="132" s="22" customFormat="1" ht="172" customHeight="1" spans="1:10">
      <c r="A132" s="26">
        <v>124</v>
      </c>
      <c r="B132" s="27" t="s">
        <v>279</v>
      </c>
      <c r="C132" s="27" t="s">
        <v>11</v>
      </c>
      <c r="D132" s="27"/>
      <c r="E132" s="15">
        <v>10</v>
      </c>
      <c r="F132" s="15">
        <v>14.4</v>
      </c>
      <c r="G132" s="15" t="str">
        <f>_xlfn.DISPIMG("ID_932BFCADA7AC449F86CC5AC18D16556F",1)</f>
        <v>=DISPIMG("ID_932BFCADA7AC449F86CC5AC18D16556F",1)</v>
      </c>
      <c r="H132" s="27" t="s">
        <v>130</v>
      </c>
      <c r="I132" s="9" t="s">
        <v>280</v>
      </c>
      <c r="J132" s="15"/>
    </row>
    <row r="133" s="22" customFormat="1" ht="172" customHeight="1" spans="1:10">
      <c r="A133" s="26">
        <v>125</v>
      </c>
      <c r="B133" s="27" t="s">
        <v>281</v>
      </c>
      <c r="C133" s="27" t="s">
        <v>11</v>
      </c>
      <c r="D133" s="27"/>
      <c r="E133" s="15">
        <v>30</v>
      </c>
      <c r="F133" s="15">
        <v>18.15</v>
      </c>
      <c r="G133" s="15" t="str">
        <f>_xlfn.DISPIMG("ID_56208451438C4E4A87A3D5EB8797C29D",1)</f>
        <v>=DISPIMG("ID_56208451438C4E4A87A3D5EB8797C29D",1)</v>
      </c>
      <c r="H133" s="27" t="s">
        <v>130</v>
      </c>
      <c r="I133" s="9" t="s">
        <v>282</v>
      </c>
      <c r="J133" s="15"/>
    </row>
    <row r="134" s="22" customFormat="1" ht="172" customHeight="1" spans="1:10">
      <c r="A134" s="26">
        <v>126</v>
      </c>
      <c r="B134" s="27" t="s">
        <v>283</v>
      </c>
      <c r="C134" s="27" t="s">
        <v>11</v>
      </c>
      <c r="D134" s="27"/>
      <c r="E134" s="15">
        <v>963.1</v>
      </c>
      <c r="F134" s="15">
        <v>5080.58</v>
      </c>
      <c r="G134" s="15" t="str">
        <f>_xlfn.DISPIMG("ID_E14772373F384E3D828D85D353EB7D13",1)</f>
        <v>=DISPIMG("ID_E14772373F384E3D828D85D353EB7D13",1)</v>
      </c>
      <c r="H134" s="27" t="s">
        <v>130</v>
      </c>
      <c r="I134" s="9" t="s">
        <v>284</v>
      </c>
      <c r="J134" s="15"/>
    </row>
    <row r="135" s="22" customFormat="1" ht="172" customHeight="1" spans="1:10">
      <c r="A135" s="26">
        <v>127</v>
      </c>
      <c r="B135" s="27" t="s">
        <v>285</v>
      </c>
      <c r="C135" s="27" t="s">
        <v>11</v>
      </c>
      <c r="D135" s="27"/>
      <c r="E135" s="15">
        <v>500</v>
      </c>
      <c r="F135" s="15">
        <v>145.6</v>
      </c>
      <c r="G135" s="15" t="str">
        <f>_xlfn.DISPIMG("ID_5CE15F6394EC4A62998C1AF47A425CE1",1)</f>
        <v>=DISPIMG("ID_5CE15F6394EC4A62998C1AF47A425CE1",1)</v>
      </c>
      <c r="H135" s="27" t="s">
        <v>130</v>
      </c>
      <c r="I135" s="9" t="s">
        <v>173</v>
      </c>
      <c r="J135" s="15"/>
    </row>
    <row r="136" s="22" customFormat="1" ht="172" customHeight="1" spans="1:10">
      <c r="A136" s="26">
        <v>128</v>
      </c>
      <c r="B136" s="27" t="s">
        <v>286</v>
      </c>
      <c r="C136" s="27" t="s">
        <v>11</v>
      </c>
      <c r="D136" s="27"/>
      <c r="E136" s="15">
        <v>80</v>
      </c>
      <c r="F136" s="15">
        <v>393.12</v>
      </c>
      <c r="G136" s="15" t="str">
        <f>_xlfn.DISPIMG("ID_F64A429F78C14B1DB65F2C1103D1F49C",1)</f>
        <v>=DISPIMG("ID_F64A429F78C14B1DB65F2C1103D1F49C",1)</v>
      </c>
      <c r="H136" s="27" t="s">
        <v>130</v>
      </c>
      <c r="I136" s="9" t="s">
        <v>287</v>
      </c>
      <c r="J136" s="15"/>
    </row>
    <row r="137" s="22" customFormat="1" ht="172" customHeight="1" spans="1:10">
      <c r="A137" s="26">
        <v>129</v>
      </c>
      <c r="B137" s="27" t="s">
        <v>288</v>
      </c>
      <c r="C137" s="27" t="s">
        <v>11</v>
      </c>
      <c r="D137" s="27"/>
      <c r="E137" s="15">
        <v>26.55</v>
      </c>
      <c r="F137" s="15">
        <v>2017.8</v>
      </c>
      <c r="G137" s="15" t="str">
        <f>_xlfn.DISPIMG("ID_DAEF7384F9CF4B9EB97C740F2FA28A72",1)</f>
        <v>=DISPIMG("ID_DAEF7384F9CF4B9EB97C740F2FA28A72",1)</v>
      </c>
      <c r="H137" s="27" t="s">
        <v>130</v>
      </c>
      <c r="I137" s="9" t="s">
        <v>289</v>
      </c>
      <c r="J137" s="15"/>
    </row>
    <row r="138" s="22" customFormat="1" ht="172" customHeight="1" spans="1:10">
      <c r="A138" s="26"/>
      <c r="B138" s="31" t="s">
        <v>290</v>
      </c>
      <c r="C138" s="27" t="s">
        <v>11</v>
      </c>
      <c r="D138" s="27"/>
      <c r="E138" s="15">
        <v>20</v>
      </c>
      <c r="F138" s="15"/>
      <c r="G138" s="15"/>
      <c r="H138" s="27" t="s">
        <v>130</v>
      </c>
      <c r="I138" s="33" t="s">
        <v>291</v>
      </c>
      <c r="J138" s="15"/>
    </row>
    <row r="139" s="22" customFormat="1" ht="172" customHeight="1" spans="1:10">
      <c r="A139" s="26"/>
      <c r="B139" s="31" t="s">
        <v>292</v>
      </c>
      <c r="C139" s="27" t="s">
        <v>11</v>
      </c>
      <c r="D139" s="27"/>
      <c r="E139" s="15">
        <v>20</v>
      </c>
      <c r="F139" s="15"/>
      <c r="G139" s="15"/>
      <c r="H139" s="27" t="s">
        <v>130</v>
      </c>
      <c r="I139" s="33" t="s">
        <v>293</v>
      </c>
      <c r="J139" s="15"/>
    </row>
    <row r="140" s="22" customFormat="1" ht="172" customHeight="1" spans="1:10">
      <c r="A140" s="26">
        <v>130</v>
      </c>
      <c r="B140" s="27" t="s">
        <v>294</v>
      </c>
      <c r="C140" s="27" t="s">
        <v>11</v>
      </c>
      <c r="D140" s="27"/>
      <c r="E140" s="15">
        <v>12853.65</v>
      </c>
      <c r="F140" s="15">
        <v>240620.35</v>
      </c>
      <c r="G140" s="15" t="str">
        <f>_xlfn.DISPIMG("ID_F5E05BA3035A43EAB31A6D8757539DA8",1)</f>
        <v>=DISPIMG("ID_F5E05BA3035A43EAB31A6D8757539DA8",1)</v>
      </c>
      <c r="H140" s="27" t="s">
        <v>130</v>
      </c>
      <c r="I140" s="9" t="s">
        <v>295</v>
      </c>
      <c r="J140" s="15"/>
    </row>
    <row r="141" s="22" customFormat="1" ht="172" customHeight="1" spans="1:10">
      <c r="A141" s="26">
        <v>131</v>
      </c>
      <c r="B141" s="27" t="s">
        <v>296</v>
      </c>
      <c r="C141" s="27" t="s">
        <v>11</v>
      </c>
      <c r="D141" s="27"/>
      <c r="E141" s="15">
        <v>50</v>
      </c>
      <c r="F141" s="15">
        <v>9.89</v>
      </c>
      <c r="G141" s="15" t="str">
        <f>_xlfn.DISPIMG("ID_0AF0963A28E4408797633E8A64E3B2C9",1)</f>
        <v>=DISPIMG("ID_0AF0963A28E4408797633E8A64E3B2C9",1)</v>
      </c>
      <c r="H141" s="27" t="s">
        <v>130</v>
      </c>
      <c r="I141" s="9" t="s">
        <v>297</v>
      </c>
      <c r="J141" s="15"/>
    </row>
    <row r="142" s="22" customFormat="1" ht="172" customHeight="1" spans="1:10">
      <c r="A142" s="26">
        <v>132</v>
      </c>
      <c r="B142" s="27" t="s">
        <v>298</v>
      </c>
      <c r="C142" s="27" t="s">
        <v>11</v>
      </c>
      <c r="D142" s="27"/>
      <c r="E142" s="15">
        <v>50</v>
      </c>
      <c r="F142" s="15">
        <v>0.45</v>
      </c>
      <c r="G142" s="15" t="str">
        <f>_xlfn.DISPIMG("ID_EE1229F48E8E4E78BD1763FBC47F0B1E",1)</f>
        <v>=DISPIMG("ID_EE1229F48E8E4E78BD1763FBC47F0B1E",1)</v>
      </c>
      <c r="H142" s="27" t="s">
        <v>130</v>
      </c>
      <c r="I142" s="9" t="s">
        <v>299</v>
      </c>
      <c r="J142" s="15"/>
    </row>
    <row r="143" s="22" customFormat="1" ht="172" customHeight="1" spans="1:10">
      <c r="A143" s="26">
        <v>133</v>
      </c>
      <c r="B143" s="27" t="s">
        <v>300</v>
      </c>
      <c r="C143" s="27" t="s">
        <v>11</v>
      </c>
      <c r="D143" s="27"/>
      <c r="E143" s="15">
        <v>586.2</v>
      </c>
      <c r="F143" s="15">
        <v>3476.17</v>
      </c>
      <c r="G143" s="15" t="str">
        <f>_xlfn.DISPIMG("ID_E8FA0B55589B4C7E8E08F58CDB6797E7",1)</f>
        <v>=DISPIMG("ID_E8FA0B55589B4C7E8E08F58CDB6797E7",1)</v>
      </c>
      <c r="H143" s="27" t="s">
        <v>130</v>
      </c>
      <c r="I143" s="9" t="s">
        <v>301</v>
      </c>
      <c r="J143" s="15"/>
    </row>
    <row r="144" s="22" customFormat="1" ht="172" customHeight="1" spans="1:10">
      <c r="A144" s="26">
        <v>134</v>
      </c>
      <c r="B144" s="27" t="s">
        <v>302</v>
      </c>
      <c r="C144" s="27" t="s">
        <v>11</v>
      </c>
      <c r="D144" s="27"/>
      <c r="E144" s="15">
        <v>290.85</v>
      </c>
      <c r="F144" s="15">
        <v>3211</v>
      </c>
      <c r="G144" s="15" t="str">
        <f>_xlfn.DISPIMG("ID_F9208BDB91F243ACB6D1673EEEB80EC2",1)</f>
        <v>=DISPIMG("ID_F9208BDB91F243ACB6D1673EEEB80EC2",1)</v>
      </c>
      <c r="H144" s="27" t="s">
        <v>130</v>
      </c>
      <c r="I144" s="9" t="s">
        <v>303</v>
      </c>
      <c r="J144" s="15"/>
    </row>
    <row r="145" s="22" customFormat="1" ht="172" customHeight="1" spans="1:10">
      <c r="A145" s="26">
        <v>135</v>
      </c>
      <c r="B145" s="27" t="s">
        <v>304</v>
      </c>
      <c r="C145" s="27" t="s">
        <v>11</v>
      </c>
      <c r="D145" s="27"/>
      <c r="E145" s="15">
        <v>2622.7</v>
      </c>
      <c r="F145" s="15">
        <v>22571.71</v>
      </c>
      <c r="G145" s="15" t="str">
        <f>_xlfn.DISPIMG("ID_EDE749BB964A4A7382116D33324C3E0E",1)</f>
        <v>=DISPIMG("ID_EDE749BB964A4A7382116D33324C3E0E",1)</v>
      </c>
      <c r="H145" s="27" t="s">
        <v>130</v>
      </c>
      <c r="I145" s="9" t="s">
        <v>177</v>
      </c>
      <c r="J145" s="15"/>
    </row>
    <row r="146" s="22" customFormat="1" ht="172" customHeight="1" spans="1:10">
      <c r="A146" s="26">
        <v>136</v>
      </c>
      <c r="B146" s="27" t="s">
        <v>305</v>
      </c>
      <c r="C146" s="27" t="s">
        <v>11</v>
      </c>
      <c r="D146" s="27"/>
      <c r="E146" s="15">
        <v>7814</v>
      </c>
      <c r="F146" s="15">
        <v>37033.21</v>
      </c>
      <c r="G146" s="15" t="str">
        <f>_xlfn.DISPIMG("ID_D0AC111B6EBF45AF9D05DAC71B6AD8BB",1)</f>
        <v>=DISPIMG("ID_D0AC111B6EBF45AF9D05DAC71B6AD8BB",1)</v>
      </c>
      <c r="H146" s="27" t="s">
        <v>130</v>
      </c>
      <c r="I146" s="9" t="s">
        <v>284</v>
      </c>
      <c r="J146" s="15"/>
    </row>
    <row r="147" s="22" customFormat="1" ht="172" customHeight="1" spans="1:10">
      <c r="A147" s="26">
        <v>137</v>
      </c>
      <c r="B147" s="27" t="s">
        <v>306</v>
      </c>
      <c r="C147" s="27" t="s">
        <v>11</v>
      </c>
      <c r="D147" s="27"/>
      <c r="E147" s="15">
        <v>2398.8</v>
      </c>
      <c r="F147" s="15">
        <v>16623.73</v>
      </c>
      <c r="G147" s="15" t="str">
        <f>_xlfn.DISPIMG("ID_04CDB469FFD945A9B8693A21894C83E5",1)</f>
        <v>=DISPIMG("ID_04CDB469FFD945A9B8693A21894C83E5",1)</v>
      </c>
      <c r="H147" s="27" t="s">
        <v>130</v>
      </c>
      <c r="I147" s="9" t="s">
        <v>307</v>
      </c>
      <c r="J147" s="15"/>
    </row>
    <row r="148" s="22" customFormat="1" ht="172" customHeight="1" spans="1:10">
      <c r="A148" s="26">
        <v>138</v>
      </c>
      <c r="B148" s="27" t="s">
        <v>308</v>
      </c>
      <c r="C148" s="27" t="s">
        <v>11</v>
      </c>
      <c r="D148" s="27"/>
      <c r="E148" s="15">
        <v>50</v>
      </c>
      <c r="F148" s="15">
        <v>39.74</v>
      </c>
      <c r="G148" s="15" t="str">
        <f>_xlfn.DISPIMG("ID_AC6D3530760F4CC99298E8166303E6AA",1)</f>
        <v>=DISPIMG("ID_AC6D3530760F4CC99298E8166303E6AA",1)</v>
      </c>
      <c r="H148" s="27" t="s">
        <v>130</v>
      </c>
      <c r="I148" s="9" t="s">
        <v>225</v>
      </c>
      <c r="J148" s="15"/>
    </row>
    <row r="149" s="22" customFormat="1" ht="172" customHeight="1" spans="1:10">
      <c r="A149" s="26">
        <v>139</v>
      </c>
      <c r="B149" s="27" t="s">
        <v>309</v>
      </c>
      <c r="C149" s="27" t="s">
        <v>11</v>
      </c>
      <c r="D149" s="27"/>
      <c r="E149" s="15">
        <v>50</v>
      </c>
      <c r="F149" s="15">
        <v>6.91</v>
      </c>
      <c r="G149" s="15" t="str">
        <f>_xlfn.DISPIMG("ID_9C78A88ACB594AC8B2F2A8D72E66738A",1)</f>
        <v>=DISPIMG("ID_9C78A88ACB594AC8B2F2A8D72E66738A",1)</v>
      </c>
      <c r="H149" s="27" t="s">
        <v>130</v>
      </c>
      <c r="I149" s="9" t="s">
        <v>310</v>
      </c>
      <c r="J149" s="15"/>
    </row>
    <row r="150" s="22" customFormat="1" ht="172" customHeight="1" spans="1:10">
      <c r="A150" s="26">
        <v>140</v>
      </c>
      <c r="B150" s="27" t="s">
        <v>311</v>
      </c>
      <c r="C150" s="27" t="s">
        <v>11</v>
      </c>
      <c r="D150" s="27"/>
      <c r="E150" s="15">
        <v>16.85</v>
      </c>
      <c r="F150" s="15">
        <v>210.28</v>
      </c>
      <c r="G150" s="15" t="str">
        <f>_xlfn.DISPIMG("ID_99A111D47ED443C385A981FAD72B7C23",1)</f>
        <v>=DISPIMG("ID_99A111D47ED443C385A981FAD72B7C23",1)</v>
      </c>
      <c r="H150" s="27" t="s">
        <v>130</v>
      </c>
      <c r="I150" s="9" t="s">
        <v>312</v>
      </c>
      <c r="J150" s="15"/>
    </row>
    <row r="151" s="22" customFormat="1" ht="172" customHeight="1" spans="1:10">
      <c r="A151" s="26">
        <v>141</v>
      </c>
      <c r="B151" s="32" t="s">
        <v>313</v>
      </c>
      <c r="C151" s="27" t="s">
        <v>11</v>
      </c>
      <c r="D151" s="27"/>
      <c r="E151" s="15">
        <v>1.5</v>
      </c>
      <c r="F151" s="15">
        <v>30.41</v>
      </c>
      <c r="G151" s="15" t="str">
        <f>_xlfn.DISPIMG("ID_EA5B1D349A93421BAA69F5869B3F8347",1)</f>
        <v>=DISPIMG("ID_EA5B1D349A93421BAA69F5869B3F8347",1)</v>
      </c>
      <c r="H151" s="27" t="s">
        <v>130</v>
      </c>
      <c r="I151" s="9" t="s">
        <v>314</v>
      </c>
      <c r="J151" s="34" t="s">
        <v>315</v>
      </c>
    </row>
    <row r="152" s="22" customFormat="1" ht="172" customHeight="1" spans="1:10">
      <c r="A152" s="26">
        <v>142</v>
      </c>
      <c r="B152" s="27" t="s">
        <v>316</v>
      </c>
      <c r="C152" s="27" t="s">
        <v>11</v>
      </c>
      <c r="D152" s="27"/>
      <c r="E152" s="15">
        <v>100</v>
      </c>
      <c r="F152" s="15">
        <v>102.68</v>
      </c>
      <c r="G152" s="15" t="str">
        <f>_xlfn.DISPIMG("ID_1C2DA3FC6BE3441ABB651038E7F1B4CF",1)</f>
        <v>=DISPIMG("ID_1C2DA3FC6BE3441ABB651038E7F1B4CF",1)</v>
      </c>
      <c r="H152" s="27" t="s">
        <v>130</v>
      </c>
      <c r="I152" s="9" t="s">
        <v>317</v>
      </c>
      <c r="J152" s="15"/>
    </row>
    <row r="153" s="22" customFormat="1" ht="172" customHeight="1" spans="1:10">
      <c r="A153" s="26">
        <v>143</v>
      </c>
      <c r="B153" s="27" t="s">
        <v>318</v>
      </c>
      <c r="C153" s="27" t="s">
        <v>11</v>
      </c>
      <c r="D153" s="27"/>
      <c r="E153" s="15">
        <v>838.75</v>
      </c>
      <c r="F153" s="15">
        <v>13529.02</v>
      </c>
      <c r="G153" s="15" t="str">
        <f>_xlfn.DISPIMG("ID_45E23E38CC204F70B250939F779F7329",1)</f>
        <v>=DISPIMG("ID_45E23E38CC204F70B250939F779F7329",1)</v>
      </c>
      <c r="H153" s="27" t="s">
        <v>130</v>
      </c>
      <c r="I153" s="9" t="s">
        <v>319</v>
      </c>
      <c r="J153" s="15"/>
    </row>
    <row r="154" s="22" customFormat="1" ht="172" customHeight="1" spans="1:10">
      <c r="A154" s="26">
        <v>144</v>
      </c>
      <c r="B154" s="27" t="s">
        <v>320</v>
      </c>
      <c r="C154" s="27" t="s">
        <v>11</v>
      </c>
      <c r="D154" s="27"/>
      <c r="E154" s="15">
        <v>84.35</v>
      </c>
      <c r="F154" s="15">
        <v>590.45</v>
      </c>
      <c r="G154" s="15" t="str">
        <f>_xlfn.DISPIMG("ID_3234E0BDACD74B66A6B79585DE2881F7",1)</f>
        <v>=DISPIMG("ID_3234E0BDACD74B66A6B79585DE2881F7",1)</v>
      </c>
      <c r="H154" s="27" t="s">
        <v>130</v>
      </c>
      <c r="I154" s="9" t="s">
        <v>321</v>
      </c>
      <c r="J154" s="15"/>
    </row>
    <row r="155" s="22" customFormat="1" ht="172" customHeight="1" spans="1:10">
      <c r="A155" s="26">
        <v>145</v>
      </c>
      <c r="B155" s="27" t="s">
        <v>322</v>
      </c>
      <c r="C155" s="27" t="s">
        <v>11</v>
      </c>
      <c r="D155" s="27"/>
      <c r="E155" s="15">
        <v>18667.45</v>
      </c>
      <c r="F155" s="15">
        <v>57682.49</v>
      </c>
      <c r="G155" s="15" t="str">
        <f>_xlfn.DISPIMG("ID_B2D5114193AC4A708759C9317591A08B",1)</f>
        <v>=DISPIMG("ID_B2D5114193AC4A708759C9317591A08B",1)</v>
      </c>
      <c r="H155" s="27" t="s">
        <v>130</v>
      </c>
      <c r="I155" s="9" t="s">
        <v>213</v>
      </c>
      <c r="J155" s="15"/>
    </row>
    <row r="156" s="22" customFormat="1" ht="172" customHeight="1" spans="1:10">
      <c r="A156" s="26">
        <v>146</v>
      </c>
      <c r="B156" s="27" t="s">
        <v>323</v>
      </c>
      <c r="C156" s="27" t="s">
        <v>11</v>
      </c>
      <c r="D156" s="27"/>
      <c r="E156" s="15">
        <v>2706.65</v>
      </c>
      <c r="F156" s="15">
        <v>11367.93</v>
      </c>
      <c r="G156" s="15" t="str">
        <f>_xlfn.DISPIMG("ID_7F966A53F79D4865A06B1006405F5447",1)</f>
        <v>=DISPIMG("ID_7F966A53F79D4865A06B1006405F5447",1)</v>
      </c>
      <c r="H156" s="27" t="s">
        <v>130</v>
      </c>
      <c r="I156" s="9" t="s">
        <v>324</v>
      </c>
      <c r="J156" s="15"/>
    </row>
    <row r="157" s="22" customFormat="1" ht="172" customHeight="1" spans="1:10">
      <c r="A157" s="26">
        <v>147</v>
      </c>
      <c r="B157" s="27" t="s">
        <v>325</v>
      </c>
      <c r="C157" s="27" t="s">
        <v>11</v>
      </c>
      <c r="D157" s="27"/>
      <c r="E157" s="15">
        <v>50</v>
      </c>
      <c r="F157" s="15">
        <v>16.5</v>
      </c>
      <c r="G157" s="15" t="str">
        <f>_xlfn.DISPIMG("ID_2594F5C9325E42AFABF2F5E42F71D2A3",1)</f>
        <v>=DISPIMG("ID_2594F5C9325E42AFABF2F5E42F71D2A3",1)</v>
      </c>
      <c r="H157" s="27" t="s">
        <v>130</v>
      </c>
      <c r="I157" s="9" t="s">
        <v>191</v>
      </c>
      <c r="J157" s="15"/>
    </row>
    <row r="158" s="22" customFormat="1" ht="172" customHeight="1" spans="1:10">
      <c r="A158" s="26">
        <v>148</v>
      </c>
      <c r="B158" s="27" t="s">
        <v>326</v>
      </c>
      <c r="C158" s="27" t="s">
        <v>11</v>
      </c>
      <c r="D158" s="27"/>
      <c r="E158" s="15">
        <v>100</v>
      </c>
      <c r="F158" s="15">
        <v>118.24</v>
      </c>
      <c r="G158" s="15" t="str">
        <f>_xlfn.DISPIMG("ID_C0FF2C68C7D74A5E96BB7D68958A90F4",1)</f>
        <v>=DISPIMG("ID_C0FF2C68C7D74A5E96BB7D68958A90F4",1)</v>
      </c>
      <c r="H158" s="27" t="s">
        <v>130</v>
      </c>
      <c r="I158" s="9" t="s">
        <v>327</v>
      </c>
      <c r="J158" s="15"/>
    </row>
    <row r="159" s="22" customFormat="1" ht="172" customHeight="1" spans="1:10">
      <c r="A159" s="26">
        <v>149</v>
      </c>
      <c r="B159" s="27" t="s">
        <v>328</v>
      </c>
      <c r="C159" s="27" t="s">
        <v>11</v>
      </c>
      <c r="D159" s="27"/>
      <c r="E159" s="15">
        <v>5472.35</v>
      </c>
      <c r="F159" s="15">
        <v>35127.86</v>
      </c>
      <c r="G159" s="15" t="str">
        <f>_xlfn.DISPIMG("ID_BCB5B74005524E4A993AA3CE6059E9B6",1)</f>
        <v>=DISPIMG("ID_BCB5B74005524E4A993AA3CE6059E9B6",1)</v>
      </c>
      <c r="H159" s="27" t="s">
        <v>130</v>
      </c>
      <c r="I159" s="9" t="s">
        <v>329</v>
      </c>
      <c r="J159" s="15"/>
    </row>
    <row r="160" s="22" customFormat="1" ht="172" customHeight="1" spans="1:10">
      <c r="A160" s="26">
        <v>150</v>
      </c>
      <c r="B160" s="27" t="s">
        <v>330</v>
      </c>
      <c r="C160" s="27" t="s">
        <v>11</v>
      </c>
      <c r="D160" s="27"/>
      <c r="E160" s="15">
        <v>877.55</v>
      </c>
      <c r="F160" s="15">
        <v>8449.39</v>
      </c>
      <c r="G160" s="15" t="str">
        <f>_xlfn.DISPIMG("ID_8EC5F64C3BF8448C9052B77A846A48B4",1)</f>
        <v>=DISPIMG("ID_8EC5F64C3BF8448C9052B77A846A48B4",1)</v>
      </c>
      <c r="H160" s="27" t="s">
        <v>130</v>
      </c>
      <c r="I160" s="9" t="s">
        <v>331</v>
      </c>
      <c r="J160" s="15"/>
    </row>
    <row r="161" s="22" customFormat="1" ht="172" customHeight="1" spans="1:10">
      <c r="A161" s="26">
        <v>151</v>
      </c>
      <c r="B161" s="27" t="s">
        <v>332</v>
      </c>
      <c r="C161" s="27" t="s">
        <v>11</v>
      </c>
      <c r="D161" s="27"/>
      <c r="E161" s="15">
        <v>50</v>
      </c>
      <c r="F161" s="15">
        <v>48</v>
      </c>
      <c r="G161" s="15" t="str">
        <f>_xlfn.DISPIMG("ID_2007BCB487C04C72B5FEB3BB68E5E8CA",1)</f>
        <v>=DISPIMG("ID_2007BCB487C04C72B5FEB3BB68E5E8CA",1)</v>
      </c>
      <c r="H161" s="27" t="s">
        <v>130</v>
      </c>
      <c r="I161" s="9" t="s">
        <v>333</v>
      </c>
      <c r="J161" s="15"/>
    </row>
    <row r="162" s="22" customFormat="1" ht="172" customHeight="1" spans="1:10">
      <c r="A162" s="26">
        <v>152</v>
      </c>
      <c r="B162" s="27" t="s">
        <v>334</v>
      </c>
      <c r="C162" s="27" t="s">
        <v>11</v>
      </c>
      <c r="D162" s="27"/>
      <c r="E162" s="15">
        <v>19059.5</v>
      </c>
      <c r="F162" s="15">
        <v>157149.24</v>
      </c>
      <c r="G162" s="15" t="str">
        <f>_xlfn.DISPIMG("ID_79A4E4AC6ECA4E48AC9A8BAB2ACE2998",1)</f>
        <v>=DISPIMG("ID_79A4E4AC6ECA4E48AC9A8BAB2ACE2998",1)</v>
      </c>
      <c r="H162" s="27" t="s">
        <v>130</v>
      </c>
      <c r="I162" s="9" t="s">
        <v>225</v>
      </c>
      <c r="J162" s="15"/>
    </row>
    <row r="163" s="22" customFormat="1" ht="172" customHeight="1" spans="1:10">
      <c r="A163" s="26">
        <v>153</v>
      </c>
      <c r="B163" s="27" t="s">
        <v>335</v>
      </c>
      <c r="C163" s="27" t="s">
        <v>11</v>
      </c>
      <c r="D163" s="27"/>
      <c r="E163" s="15">
        <v>9382.95</v>
      </c>
      <c r="F163" s="15">
        <v>68495.88</v>
      </c>
      <c r="G163" s="15" t="str">
        <f>_xlfn.DISPIMG("ID_B2324FFE4093465294DF419ACCF0C702",1)</f>
        <v>=DISPIMG("ID_B2324FFE4093465294DF419ACCF0C702",1)</v>
      </c>
      <c r="H163" s="27" t="s">
        <v>130</v>
      </c>
      <c r="I163" s="9" t="s">
        <v>336</v>
      </c>
      <c r="J163" s="15"/>
    </row>
    <row r="164" s="22" customFormat="1" ht="172" customHeight="1" spans="1:10">
      <c r="A164" s="26">
        <v>154</v>
      </c>
      <c r="B164" s="27" t="s">
        <v>337</v>
      </c>
      <c r="C164" s="27" t="s">
        <v>11</v>
      </c>
      <c r="D164" s="27"/>
      <c r="E164" s="15">
        <v>50</v>
      </c>
      <c r="F164" s="15">
        <v>335.69</v>
      </c>
      <c r="G164" s="15" t="str">
        <f>_xlfn.DISPIMG("ID_3B2D8C43106A49989C636695F2474881",1)</f>
        <v>=DISPIMG("ID_3B2D8C43106A49989C636695F2474881",1)</v>
      </c>
      <c r="H164" s="27" t="s">
        <v>130</v>
      </c>
      <c r="I164" s="9" t="s">
        <v>338</v>
      </c>
      <c r="J164" s="15"/>
    </row>
    <row r="165" s="22" customFormat="1" ht="172" customHeight="1" spans="1:10">
      <c r="A165" s="26">
        <v>155</v>
      </c>
      <c r="B165" s="27" t="s">
        <v>339</v>
      </c>
      <c r="C165" s="27" t="s">
        <v>11</v>
      </c>
      <c r="D165" s="27"/>
      <c r="E165" s="15">
        <v>0.95</v>
      </c>
      <c r="F165" s="15">
        <v>23.75</v>
      </c>
      <c r="G165" s="15" t="str">
        <f>_xlfn.DISPIMG("ID_459206DF02124EAAAD8E257A819A8C5A",1)</f>
        <v>=DISPIMG("ID_459206DF02124EAAAD8E257A819A8C5A",1)</v>
      </c>
      <c r="H165" s="27" t="s">
        <v>130</v>
      </c>
      <c r="I165" s="9" t="s">
        <v>340</v>
      </c>
      <c r="J165" s="15"/>
    </row>
    <row r="166" s="22" customFormat="1" ht="172" customHeight="1" spans="1:10">
      <c r="A166" s="26">
        <v>156</v>
      </c>
      <c r="B166" s="27" t="s">
        <v>341</v>
      </c>
      <c r="C166" s="27" t="s">
        <v>11</v>
      </c>
      <c r="D166" s="27"/>
      <c r="E166" s="15">
        <v>12273.7</v>
      </c>
      <c r="F166" s="15">
        <v>259652.95</v>
      </c>
      <c r="G166" s="15" t="str">
        <f>_xlfn.DISPIMG("ID_10C0B64E46B841E8B7BE249998367883",1)</f>
        <v>=DISPIMG("ID_10C0B64E46B841E8B7BE249998367883",1)</v>
      </c>
      <c r="H166" s="27" t="s">
        <v>130</v>
      </c>
      <c r="I166" s="9" t="s">
        <v>342</v>
      </c>
      <c r="J166" s="15"/>
    </row>
    <row r="167" s="22" customFormat="1" ht="172" customHeight="1" spans="1:10">
      <c r="A167" s="26">
        <v>157</v>
      </c>
      <c r="B167" s="27" t="s">
        <v>343</v>
      </c>
      <c r="C167" s="27" t="s">
        <v>11</v>
      </c>
      <c r="D167" s="27"/>
      <c r="E167" s="15">
        <v>4.15</v>
      </c>
      <c r="F167" s="15">
        <v>107.57</v>
      </c>
      <c r="G167" s="35"/>
      <c r="H167" s="27" t="s">
        <v>130</v>
      </c>
      <c r="I167" s="9" t="s">
        <v>344</v>
      </c>
      <c r="J167" s="15"/>
    </row>
    <row r="168" s="22" customFormat="1" ht="172" customHeight="1" spans="1:10">
      <c r="A168" s="26">
        <v>158</v>
      </c>
      <c r="B168" s="27" t="s">
        <v>345</v>
      </c>
      <c r="C168" s="27" t="s">
        <v>11</v>
      </c>
      <c r="D168" s="27"/>
      <c r="E168" s="15">
        <v>60.9</v>
      </c>
      <c r="F168" s="15">
        <v>719.22</v>
      </c>
      <c r="G168" s="15" t="str">
        <f>_xlfn.DISPIMG("ID_C21662AFAD814D98ACDEE07390C9AB9C",1)</f>
        <v>=DISPIMG("ID_C21662AFAD814D98ACDEE07390C9AB9C",1)</v>
      </c>
      <c r="H168" s="27" t="s">
        <v>130</v>
      </c>
      <c r="I168" s="9" t="s">
        <v>346</v>
      </c>
      <c r="J168" s="15"/>
    </row>
    <row r="169" s="22" customFormat="1" ht="172" customHeight="1" spans="1:10">
      <c r="A169" s="26">
        <v>159</v>
      </c>
      <c r="B169" s="27" t="s">
        <v>347</v>
      </c>
      <c r="C169" s="27" t="s">
        <v>11</v>
      </c>
      <c r="D169" s="27"/>
      <c r="E169" s="15">
        <v>638.1</v>
      </c>
      <c r="F169" s="15">
        <v>6859.68</v>
      </c>
      <c r="G169" s="15" t="str">
        <f>_xlfn.DISPIMG("ID_20B9B710FC4D4DF78613BD3E8A4ADA61",1)</f>
        <v>=DISPIMG("ID_20B9B710FC4D4DF78613BD3E8A4ADA61",1)</v>
      </c>
      <c r="H169" s="27" t="s">
        <v>130</v>
      </c>
      <c r="I169" s="9" t="s">
        <v>348</v>
      </c>
      <c r="J169" s="15"/>
    </row>
    <row r="170" s="22" customFormat="1" ht="172" customHeight="1" spans="1:10">
      <c r="A170" s="26">
        <v>160</v>
      </c>
      <c r="B170" s="27" t="s">
        <v>349</v>
      </c>
      <c r="C170" s="27" t="s">
        <v>11</v>
      </c>
      <c r="D170" s="27"/>
      <c r="E170" s="15">
        <v>1818.65</v>
      </c>
      <c r="F170" s="15">
        <v>10129.9</v>
      </c>
      <c r="G170" s="15" t="str">
        <f>_xlfn.DISPIMG("ID_964E7351B1884CA792878D59F966F4FC",1)</f>
        <v>=DISPIMG("ID_964E7351B1884CA792878D59F966F4FC",1)</v>
      </c>
      <c r="H170" s="27" t="s">
        <v>130</v>
      </c>
      <c r="I170" s="9" t="s">
        <v>350</v>
      </c>
      <c r="J170" s="15"/>
    </row>
    <row r="171" s="22" customFormat="1" ht="172" customHeight="1" spans="1:10">
      <c r="A171" s="26">
        <v>161</v>
      </c>
      <c r="B171" s="27" t="s">
        <v>351</v>
      </c>
      <c r="C171" s="27" t="s">
        <v>11</v>
      </c>
      <c r="D171" s="27"/>
      <c r="E171" s="15">
        <v>0.75</v>
      </c>
      <c r="F171" s="15">
        <v>16.28</v>
      </c>
      <c r="G171" s="15" t="str">
        <f>_xlfn.DISPIMG("ID_25474DC40BCE4C02A28DBEDBC392303D",1)</f>
        <v>=DISPIMG("ID_25474DC40BCE4C02A28DBEDBC392303D",1)</v>
      </c>
      <c r="H171" s="27" t="s">
        <v>130</v>
      </c>
      <c r="I171" s="9" t="s">
        <v>352</v>
      </c>
      <c r="J171" s="15"/>
    </row>
    <row r="172" s="22" customFormat="1" ht="172" customHeight="1" spans="1:10">
      <c r="A172" s="26">
        <v>162</v>
      </c>
      <c r="B172" s="32" t="s">
        <v>353</v>
      </c>
      <c r="C172" s="27" t="s">
        <v>11</v>
      </c>
      <c r="D172" s="27"/>
      <c r="E172" s="15">
        <v>0.5</v>
      </c>
      <c r="F172" s="15">
        <v>10.56</v>
      </c>
      <c r="G172" s="15" t="str">
        <f>_xlfn.DISPIMG("ID_52E5AEFB09944330B5EB66CBFE1A4B54",1)</f>
        <v>=DISPIMG("ID_52E5AEFB09944330B5EB66CBFE1A4B54",1)</v>
      </c>
      <c r="H172" s="27" t="s">
        <v>130</v>
      </c>
      <c r="I172" s="9" t="s">
        <v>354</v>
      </c>
      <c r="J172" s="15"/>
    </row>
    <row r="173" s="22" customFormat="1" ht="172" customHeight="1" spans="1:10">
      <c r="A173" s="26">
        <v>163</v>
      </c>
      <c r="B173" s="27" t="s">
        <v>355</v>
      </c>
      <c r="C173" s="27" t="s">
        <v>11</v>
      </c>
      <c r="D173" s="27"/>
      <c r="E173" s="15">
        <v>3112.45</v>
      </c>
      <c r="F173" s="15">
        <v>25480.2</v>
      </c>
      <c r="G173" s="15" t="str">
        <f>_xlfn.DISPIMG("ID_5887786ECAAE4DF6BA1B1F0F40419E17",1)</f>
        <v>=DISPIMG("ID_5887786ECAAE4DF6BA1B1F0F40419E17",1)</v>
      </c>
      <c r="H173" s="27" t="s">
        <v>130</v>
      </c>
      <c r="I173" s="9" t="s">
        <v>356</v>
      </c>
      <c r="J173" s="15"/>
    </row>
    <row r="174" s="22" customFormat="1" ht="172" customHeight="1" spans="1:10">
      <c r="A174" s="26">
        <v>164</v>
      </c>
      <c r="B174" s="27" t="s">
        <v>357</v>
      </c>
      <c r="C174" s="27" t="s">
        <v>11</v>
      </c>
      <c r="D174" s="27"/>
      <c r="E174" s="15">
        <v>0.5</v>
      </c>
      <c r="F174" s="15">
        <v>15</v>
      </c>
      <c r="G174" s="15" t="str">
        <f>_xlfn.DISPIMG("ID_4CDDFAFF311340A4B69DA0E84ED9BDAD",1)</f>
        <v>=DISPIMG("ID_4CDDFAFF311340A4B69DA0E84ED9BDAD",1)</v>
      </c>
      <c r="H174" s="27" t="s">
        <v>130</v>
      </c>
      <c r="I174" s="9" t="s">
        <v>358</v>
      </c>
      <c r="J174" s="15"/>
    </row>
    <row r="175" s="22" customFormat="1" ht="172" customHeight="1" spans="1:10">
      <c r="A175" s="26">
        <v>165</v>
      </c>
      <c r="B175" s="27" t="s">
        <v>359</v>
      </c>
      <c r="C175" s="27" t="s">
        <v>11</v>
      </c>
      <c r="D175" s="27"/>
      <c r="E175" s="15">
        <v>1198</v>
      </c>
      <c r="F175" s="15">
        <v>12423.26</v>
      </c>
      <c r="G175" s="15" t="str">
        <f>_xlfn.DISPIMG("ID_03F8EFAFFB084BE3B6895B5B453E509D",1)</f>
        <v>=DISPIMG("ID_03F8EFAFFB084BE3B6895B5B453E509D",1)</v>
      </c>
      <c r="H175" s="27" t="s">
        <v>130</v>
      </c>
      <c r="I175" s="9" t="s">
        <v>360</v>
      </c>
      <c r="J175" s="15"/>
    </row>
    <row r="176" s="22" customFormat="1" ht="172" customHeight="1" spans="1:10">
      <c r="A176" s="26">
        <v>166</v>
      </c>
      <c r="B176" s="27" t="s">
        <v>361</v>
      </c>
      <c r="C176" s="27" t="s">
        <v>11</v>
      </c>
      <c r="D176" s="27"/>
      <c r="E176" s="15">
        <v>1.2</v>
      </c>
      <c r="F176" s="15">
        <v>10.8</v>
      </c>
      <c r="G176" s="15" t="str">
        <f>_xlfn.DISPIMG("ID_022DEE193C8C4C4DA050D112CB2002D9",1)</f>
        <v>=DISPIMG("ID_022DEE193C8C4C4DA050D112CB2002D9",1)</v>
      </c>
      <c r="H176" s="27" t="s">
        <v>130</v>
      </c>
      <c r="I176" s="9" t="s">
        <v>362</v>
      </c>
      <c r="J176" s="15"/>
    </row>
    <row r="177" s="22" customFormat="1" ht="172" customHeight="1" spans="1:10">
      <c r="A177" s="26">
        <v>167</v>
      </c>
      <c r="B177" s="27" t="s">
        <v>363</v>
      </c>
      <c r="C177" s="27" t="s">
        <v>11</v>
      </c>
      <c r="D177" s="27"/>
      <c r="E177" s="15">
        <v>114777.525</v>
      </c>
      <c r="F177" s="15">
        <v>940290.67</v>
      </c>
      <c r="G177" s="15" t="str">
        <f>_xlfn.DISPIMG("ID_AB491807D0F04F118C463AB90122BC2C",1)</f>
        <v>=DISPIMG("ID_AB491807D0F04F118C463AB90122BC2C",1)</v>
      </c>
      <c r="H177" s="27" t="s">
        <v>130</v>
      </c>
      <c r="I177" s="9" t="s">
        <v>272</v>
      </c>
      <c r="J177" s="15"/>
    </row>
    <row r="178" s="22" customFormat="1" ht="172" customHeight="1" spans="1:10">
      <c r="A178" s="26">
        <v>168</v>
      </c>
      <c r="B178" s="27" t="s">
        <v>364</v>
      </c>
      <c r="C178" s="27" t="s">
        <v>11</v>
      </c>
      <c r="D178" s="35"/>
      <c r="E178" s="15">
        <v>373.65</v>
      </c>
      <c r="F178" s="15">
        <v>4627.09</v>
      </c>
      <c r="G178" s="35"/>
      <c r="H178" s="27" t="s">
        <v>130</v>
      </c>
      <c r="I178" s="9" t="s">
        <v>365</v>
      </c>
      <c r="J178" s="15"/>
    </row>
    <row r="179" s="22" customFormat="1" ht="172" customHeight="1" spans="1:10">
      <c r="A179" s="26">
        <v>169</v>
      </c>
      <c r="B179" s="27" t="s">
        <v>366</v>
      </c>
      <c r="C179" s="27" t="s">
        <v>11</v>
      </c>
      <c r="D179" s="27"/>
      <c r="E179" s="15">
        <v>0.5</v>
      </c>
      <c r="F179" s="15">
        <v>47.5</v>
      </c>
      <c r="G179" s="15" t="str">
        <f>_xlfn.DISPIMG("ID_6985CF40D4214C63B14A09BA4C9F5BE3",1)</f>
        <v>=DISPIMG("ID_6985CF40D4214C63B14A09BA4C9F5BE3",1)</v>
      </c>
      <c r="H179" s="27" t="s">
        <v>130</v>
      </c>
      <c r="I179" s="9" t="s">
        <v>367</v>
      </c>
      <c r="J179" s="34" t="s">
        <v>368</v>
      </c>
    </row>
    <row r="180" s="22" customFormat="1" ht="172" customHeight="1" spans="1:10">
      <c r="A180" s="26">
        <v>170</v>
      </c>
      <c r="B180" s="27" t="s">
        <v>369</v>
      </c>
      <c r="C180" s="27" t="s">
        <v>11</v>
      </c>
      <c r="D180" s="27"/>
      <c r="E180" s="15">
        <v>10228.05</v>
      </c>
      <c r="F180" s="15">
        <v>45208.05</v>
      </c>
      <c r="G180" s="15" t="str">
        <f>_xlfn.DISPIMG("ID_B29EAB138600415AB9735B8892DEE9DF",1)</f>
        <v>=DISPIMG("ID_B29EAB138600415AB9735B8892DEE9DF",1)</v>
      </c>
      <c r="H180" s="27" t="s">
        <v>130</v>
      </c>
      <c r="I180" s="9" t="s">
        <v>370</v>
      </c>
      <c r="J180" s="15"/>
    </row>
    <row r="181" s="22" customFormat="1" ht="172" customHeight="1" spans="1:10">
      <c r="A181" s="26">
        <v>171</v>
      </c>
      <c r="B181" s="27" t="s">
        <v>371</v>
      </c>
      <c r="C181" s="27" t="s">
        <v>11</v>
      </c>
      <c r="D181" s="27"/>
      <c r="E181" s="15">
        <v>2.15000000000001</v>
      </c>
      <c r="F181" s="15">
        <v>15.9700000000001</v>
      </c>
      <c r="G181" s="15" t="str">
        <f>_xlfn.DISPIMG("ID_5C389A118073465B9F57FA8C6132D27D",1)</f>
        <v>=DISPIMG("ID_5C389A118073465B9F57FA8C6132D27D",1)</v>
      </c>
      <c r="H181" s="27" t="s">
        <v>130</v>
      </c>
      <c r="I181" s="9" t="s">
        <v>276</v>
      </c>
      <c r="J181" s="15"/>
    </row>
    <row r="182" s="22" customFormat="1" ht="172" customHeight="1" spans="1:10">
      <c r="A182" s="26">
        <v>172</v>
      </c>
      <c r="B182" s="27" t="s">
        <v>372</v>
      </c>
      <c r="C182" s="27" t="s">
        <v>11</v>
      </c>
      <c r="D182" s="27"/>
      <c r="E182" s="15">
        <v>798.7</v>
      </c>
      <c r="F182" s="15">
        <v>6749.24</v>
      </c>
      <c r="G182" s="15" t="str">
        <f>_xlfn.DISPIMG("ID_C7BFFFD692EF44F6AEC4D85BA81B389D",1)</f>
        <v>=DISPIMG("ID_C7BFFFD692EF44F6AEC4D85BA81B389D",1)</v>
      </c>
      <c r="H182" s="27" t="s">
        <v>130</v>
      </c>
      <c r="I182" s="9" t="s">
        <v>373</v>
      </c>
      <c r="J182" s="15"/>
    </row>
    <row r="183" s="22" customFormat="1" ht="172" customHeight="1" spans="1:10">
      <c r="A183" s="26">
        <v>173</v>
      </c>
      <c r="B183" s="27" t="s">
        <v>374</v>
      </c>
      <c r="C183" s="27" t="s">
        <v>11</v>
      </c>
      <c r="D183" s="27"/>
      <c r="E183" s="15">
        <v>104.15</v>
      </c>
      <c r="F183" s="15">
        <v>664.79</v>
      </c>
      <c r="G183" s="15" t="str">
        <f>_xlfn.DISPIMG("ID_C7A09A4CEAD74A7FA1561E7C70BFBA19",1)</f>
        <v>=DISPIMG("ID_C7A09A4CEAD74A7FA1561E7C70BFBA19",1)</v>
      </c>
      <c r="H183" s="27" t="s">
        <v>130</v>
      </c>
      <c r="I183" s="9" t="s">
        <v>225</v>
      </c>
      <c r="J183" s="15"/>
    </row>
    <row r="184" s="22" customFormat="1" ht="172" customHeight="1" spans="1:10">
      <c r="A184" s="26">
        <v>174</v>
      </c>
      <c r="B184" s="27" t="s">
        <v>375</v>
      </c>
      <c r="C184" s="27" t="s">
        <v>11</v>
      </c>
      <c r="D184" s="27"/>
      <c r="E184" s="15">
        <v>2859.5</v>
      </c>
      <c r="F184" s="15">
        <v>27750.84</v>
      </c>
      <c r="G184" s="15" t="str">
        <f>_xlfn.DISPIMG("ID_F8E1993DF8B8401EB419CD34D2EF0FDE",1)</f>
        <v>=DISPIMG("ID_F8E1993DF8B8401EB419CD34D2EF0FDE",1)</v>
      </c>
      <c r="H184" s="27" t="s">
        <v>130</v>
      </c>
      <c r="I184" s="9" t="s">
        <v>181</v>
      </c>
      <c r="J184" s="15"/>
    </row>
    <row r="185" s="22" customFormat="1" ht="172" customHeight="1" spans="1:10">
      <c r="A185" s="26">
        <v>175</v>
      </c>
      <c r="B185" s="27" t="s">
        <v>376</v>
      </c>
      <c r="C185" s="27" t="s">
        <v>11</v>
      </c>
      <c r="D185" s="27"/>
      <c r="E185" s="15">
        <v>1.55</v>
      </c>
      <c r="F185" s="15">
        <v>383.96</v>
      </c>
      <c r="G185" s="15" t="str">
        <f>_xlfn.DISPIMG("ID_936421A9FF2B4BE788FBB7FD8FA87257",1)</f>
        <v>=DISPIMG("ID_936421A9FF2B4BE788FBB7FD8FA87257",1)</v>
      </c>
      <c r="H185" s="27" t="s">
        <v>130</v>
      </c>
      <c r="I185" s="9" t="s">
        <v>377</v>
      </c>
      <c r="J185" s="15"/>
    </row>
    <row r="186" s="22" customFormat="1" ht="172" customHeight="1" spans="1:10">
      <c r="A186" s="26">
        <v>176</v>
      </c>
      <c r="B186" s="27" t="s">
        <v>378</v>
      </c>
      <c r="C186" s="27" t="s">
        <v>11</v>
      </c>
      <c r="D186" s="27"/>
      <c r="E186" s="15">
        <v>276.25</v>
      </c>
      <c r="F186" s="15">
        <v>2455.05</v>
      </c>
      <c r="G186" s="15" t="str">
        <f>_xlfn.DISPIMG("ID_82273566D5274DB2B2913EAF25252086",1)</f>
        <v>=DISPIMG("ID_82273566D5274DB2B2913EAF25252086",1)</v>
      </c>
      <c r="H186" s="27" t="s">
        <v>130</v>
      </c>
      <c r="I186" s="9" t="s">
        <v>379</v>
      </c>
      <c r="J186" s="15"/>
    </row>
    <row r="187" s="22" customFormat="1" ht="172" customHeight="1" spans="1:10">
      <c r="A187" s="26">
        <v>177</v>
      </c>
      <c r="B187" s="27" t="s">
        <v>380</v>
      </c>
      <c r="C187" s="27" t="s">
        <v>11</v>
      </c>
      <c r="D187" s="27" t="s">
        <v>381</v>
      </c>
      <c r="E187" s="15">
        <v>8.75</v>
      </c>
      <c r="F187" s="15">
        <v>597.98</v>
      </c>
      <c r="G187" s="15" t="str">
        <f>_xlfn.DISPIMG("ID_5DDF5AD282A949698DD8B60133636CAA",1)</f>
        <v>=DISPIMG("ID_5DDF5AD282A949698DD8B60133636CAA",1)</v>
      </c>
      <c r="H187" s="27" t="s">
        <v>382</v>
      </c>
      <c r="I187" s="9" t="s">
        <v>383</v>
      </c>
      <c r="J187" s="15"/>
    </row>
    <row r="188" s="22" customFormat="1" ht="172" customHeight="1" spans="1:10">
      <c r="A188" s="26">
        <v>178</v>
      </c>
      <c r="B188" s="27" t="s">
        <v>384</v>
      </c>
      <c r="C188" s="27" t="s">
        <v>11</v>
      </c>
      <c r="D188" s="27" t="s">
        <v>385</v>
      </c>
      <c r="E188" s="15">
        <v>1.15</v>
      </c>
      <c r="F188" s="15">
        <v>71.3</v>
      </c>
      <c r="G188" s="15" t="str">
        <f>_xlfn.DISPIMG("ID_3154AECD03F145B8BD60588903CDDA9D",1)</f>
        <v>=DISPIMG("ID_3154AECD03F145B8BD60588903CDDA9D",1)</v>
      </c>
      <c r="H188" s="27" t="s">
        <v>382</v>
      </c>
      <c r="I188" s="9" t="s">
        <v>386</v>
      </c>
      <c r="J188" s="15"/>
    </row>
    <row r="189" s="22" customFormat="1" ht="172" customHeight="1" spans="1:10">
      <c r="A189" s="26">
        <v>179</v>
      </c>
      <c r="B189" s="27" t="s">
        <v>387</v>
      </c>
      <c r="C189" s="27" t="s">
        <v>11</v>
      </c>
      <c r="D189" s="27" t="s">
        <v>385</v>
      </c>
      <c r="E189" s="15">
        <v>3.25</v>
      </c>
      <c r="F189" s="15">
        <v>108.79</v>
      </c>
      <c r="G189" s="15" t="str">
        <f>_xlfn.DISPIMG("ID_5FA7B99DA83C4E10AB903A80C3D59C66",1)</f>
        <v>=DISPIMG("ID_5FA7B99DA83C4E10AB903A80C3D59C66",1)</v>
      </c>
      <c r="H189" s="27" t="s">
        <v>382</v>
      </c>
      <c r="I189" s="9" t="s">
        <v>388</v>
      </c>
      <c r="J189" s="15"/>
    </row>
    <row r="190" s="22" customFormat="1" ht="172" customHeight="1" spans="1:10">
      <c r="A190" s="26">
        <v>180</v>
      </c>
      <c r="B190" s="31" t="s">
        <v>389</v>
      </c>
      <c r="C190" s="27" t="s">
        <v>11</v>
      </c>
      <c r="D190" s="27" t="s">
        <v>385</v>
      </c>
      <c r="E190" s="15">
        <v>0.75</v>
      </c>
      <c r="F190" s="15">
        <v>42.18</v>
      </c>
      <c r="G190" s="15" t="str">
        <f>_xlfn.DISPIMG("ID_3F188C7E99E94FECB471234E97C32051",1)</f>
        <v>=DISPIMG("ID_3F188C7E99E94FECB471234E97C32051",1)</v>
      </c>
      <c r="H190" s="27" t="s">
        <v>382</v>
      </c>
      <c r="I190" s="9" t="s">
        <v>390</v>
      </c>
      <c r="J190" s="15"/>
    </row>
    <row r="191" s="22" customFormat="1" ht="172" customHeight="1" spans="1:10">
      <c r="A191" s="26">
        <v>181</v>
      </c>
      <c r="B191" s="27" t="s">
        <v>391</v>
      </c>
      <c r="C191" s="27" t="s">
        <v>11</v>
      </c>
      <c r="D191" s="30" t="s">
        <v>392</v>
      </c>
      <c r="E191" s="15">
        <v>0.45</v>
      </c>
      <c r="F191" s="15">
        <v>33.03</v>
      </c>
      <c r="G191" s="15" t="str">
        <f>_xlfn.DISPIMG("ID_7ED3A02EB70546DA8E73E7A30B0BC836",1)</f>
        <v>=DISPIMG("ID_7ED3A02EB70546DA8E73E7A30B0BC836",1)</v>
      </c>
      <c r="H191" s="27" t="s">
        <v>382</v>
      </c>
      <c r="I191" s="9" t="s">
        <v>393</v>
      </c>
      <c r="J191" s="15"/>
    </row>
    <row r="192" s="22" customFormat="1" ht="172" customHeight="1" spans="1:10">
      <c r="A192" s="26">
        <v>182</v>
      </c>
      <c r="B192" s="27" t="s">
        <v>394</v>
      </c>
      <c r="C192" s="27" t="s">
        <v>11</v>
      </c>
      <c r="D192" s="27" t="s">
        <v>395</v>
      </c>
      <c r="E192" s="15">
        <v>10.85</v>
      </c>
      <c r="F192" s="15">
        <v>305.75</v>
      </c>
      <c r="G192" s="15" t="str">
        <f>_xlfn.DISPIMG("ID_4307B7C78B4245EC82E61E32CC4901B5",1)</f>
        <v>=DISPIMG("ID_4307B7C78B4245EC82E61E32CC4901B5",1)</v>
      </c>
      <c r="H192" s="27" t="s">
        <v>382</v>
      </c>
      <c r="I192" s="9" t="s">
        <v>396</v>
      </c>
      <c r="J192" s="15"/>
    </row>
    <row r="193" s="22" customFormat="1" ht="172" customHeight="1" spans="1:10">
      <c r="A193" s="26">
        <v>183</v>
      </c>
      <c r="B193" s="27" t="s">
        <v>397</v>
      </c>
      <c r="C193" s="27" t="s">
        <v>11</v>
      </c>
      <c r="D193" s="27" t="s">
        <v>398</v>
      </c>
      <c r="E193" s="15">
        <v>1.05</v>
      </c>
      <c r="F193" s="15">
        <v>64.73</v>
      </c>
      <c r="G193" s="15" t="str">
        <f>_xlfn.DISPIMG("ID_88FC1AE82C2F4726A95A17D5D5744504",1)</f>
        <v>=DISPIMG("ID_88FC1AE82C2F4726A95A17D5D5744504",1)</v>
      </c>
      <c r="H193" s="27" t="s">
        <v>382</v>
      </c>
      <c r="I193" s="9" t="s">
        <v>399</v>
      </c>
      <c r="J193" s="15"/>
    </row>
    <row r="194" s="22" customFormat="1" ht="172" customHeight="1" spans="1:10">
      <c r="A194" s="26">
        <v>184</v>
      </c>
      <c r="B194" s="27" t="s">
        <v>400</v>
      </c>
      <c r="C194" s="27" t="s">
        <v>11</v>
      </c>
      <c r="D194" s="27" t="s">
        <v>401</v>
      </c>
      <c r="E194" s="15">
        <v>2786.4</v>
      </c>
      <c r="F194" s="15">
        <v>161973.49</v>
      </c>
      <c r="G194" s="15" t="str">
        <f>_xlfn.DISPIMG("ID_00AAF5423AD1464280B119C2CFF1C77A",1)</f>
        <v>=DISPIMG("ID_00AAF5423AD1464280B119C2CFF1C77A",1)</v>
      </c>
      <c r="H194" s="27" t="s">
        <v>382</v>
      </c>
      <c r="I194" s="9" t="s">
        <v>402</v>
      </c>
      <c r="J194" s="15"/>
    </row>
    <row r="195" s="22" customFormat="1" ht="172" customHeight="1" spans="1:10">
      <c r="A195" s="26">
        <v>185</v>
      </c>
      <c r="B195" s="27" t="s">
        <v>403</v>
      </c>
      <c r="C195" s="27" t="s">
        <v>11</v>
      </c>
      <c r="D195" s="30" t="s">
        <v>404</v>
      </c>
      <c r="E195" s="15">
        <v>308.65</v>
      </c>
      <c r="F195" s="15">
        <v>26308.86</v>
      </c>
      <c r="G195" s="15" t="str">
        <f>_xlfn.DISPIMG("ID_767814184CFB463CA3E4932F0B23F406",1)</f>
        <v>=DISPIMG("ID_767814184CFB463CA3E4932F0B23F406",1)</v>
      </c>
      <c r="H195" s="27" t="s">
        <v>382</v>
      </c>
      <c r="I195" s="9" t="s">
        <v>405</v>
      </c>
      <c r="J195" s="15"/>
    </row>
    <row r="196" s="22" customFormat="1" ht="172" customHeight="1" spans="1:10">
      <c r="A196" s="26">
        <v>186</v>
      </c>
      <c r="B196" s="27" t="s">
        <v>406</v>
      </c>
      <c r="C196" s="27" t="s">
        <v>11</v>
      </c>
      <c r="D196" s="27" t="s">
        <v>407</v>
      </c>
      <c r="E196" s="15">
        <v>81.1</v>
      </c>
      <c r="F196" s="15">
        <v>2758.85</v>
      </c>
      <c r="G196" s="15" t="str">
        <f>_xlfn.DISPIMG("ID_4CC1515A175046F8A75F208CA8CF4764",1)</f>
        <v>=DISPIMG("ID_4CC1515A175046F8A75F208CA8CF4764",1)</v>
      </c>
      <c r="H196" s="27" t="s">
        <v>382</v>
      </c>
      <c r="I196" s="9" t="s">
        <v>408</v>
      </c>
      <c r="J196" s="15"/>
    </row>
    <row r="197" s="22" customFormat="1" ht="172" customHeight="1" spans="1:10">
      <c r="A197" s="26">
        <v>187</v>
      </c>
      <c r="B197" s="27" t="s">
        <v>409</v>
      </c>
      <c r="C197" s="27" t="s">
        <v>11</v>
      </c>
      <c r="D197" s="27" t="s">
        <v>410</v>
      </c>
      <c r="E197" s="15">
        <v>0.95</v>
      </c>
      <c r="F197" s="15">
        <v>41.84</v>
      </c>
      <c r="G197" s="15" t="str">
        <f>_xlfn.DISPIMG("ID_81AA9F8595F1478BB2C99006808C97C8",1)</f>
        <v>=DISPIMG("ID_81AA9F8595F1478BB2C99006808C97C8",1)</v>
      </c>
      <c r="H197" s="27" t="s">
        <v>382</v>
      </c>
      <c r="I197" s="9" t="s">
        <v>411</v>
      </c>
      <c r="J197" s="15"/>
    </row>
    <row r="198" s="22" customFormat="1" ht="172" customHeight="1" spans="1:10">
      <c r="A198" s="26">
        <v>188</v>
      </c>
      <c r="B198" s="27" t="s">
        <v>412</v>
      </c>
      <c r="C198" s="27" t="s">
        <v>11</v>
      </c>
      <c r="D198" s="27" t="s">
        <v>410</v>
      </c>
      <c r="E198" s="15">
        <v>1.7</v>
      </c>
      <c r="F198" s="15">
        <v>42.42</v>
      </c>
      <c r="G198" s="15" t="str">
        <f>_xlfn.DISPIMG("ID_5F465EB78E2740C98E0B782C4F580F23",1)</f>
        <v>=DISPIMG("ID_5F465EB78E2740C98E0B782C4F580F23",1)</v>
      </c>
      <c r="H198" s="27" t="s">
        <v>382</v>
      </c>
      <c r="I198" s="9" t="s">
        <v>388</v>
      </c>
      <c r="J198" s="15"/>
    </row>
    <row r="199" s="22" customFormat="1" ht="172" customHeight="1" spans="1:10">
      <c r="A199" s="26">
        <v>189</v>
      </c>
      <c r="B199" s="27" t="s">
        <v>413</v>
      </c>
      <c r="C199" s="27" t="s">
        <v>11</v>
      </c>
      <c r="D199" s="27"/>
      <c r="E199" s="15">
        <v>0.5</v>
      </c>
      <c r="F199" s="15">
        <v>146</v>
      </c>
      <c r="G199" s="15" t="str">
        <f>_xlfn.DISPIMG("ID_EF09A4649870464B9FC4C1E2770988B5",1)</f>
        <v>=DISPIMG("ID_EF09A4649870464B9FC4C1E2770988B5",1)</v>
      </c>
      <c r="H199" s="27" t="s">
        <v>382</v>
      </c>
      <c r="I199" s="9" t="s">
        <v>414</v>
      </c>
      <c r="J199" s="15"/>
    </row>
    <row r="200" s="22" customFormat="1" ht="172" customHeight="1" spans="1:10">
      <c r="A200" s="26">
        <v>190</v>
      </c>
      <c r="B200" s="27" t="s">
        <v>415</v>
      </c>
      <c r="C200" s="27" t="s">
        <v>11</v>
      </c>
      <c r="D200" s="27"/>
      <c r="E200" s="15">
        <v>0.3</v>
      </c>
      <c r="F200" s="15">
        <v>15.41</v>
      </c>
      <c r="G200" s="15" t="str">
        <f>_xlfn.DISPIMG("ID_B1D8DB8818064A8EB1EAF6A40AFC8EE6",1)</f>
        <v>=DISPIMG("ID_B1D8DB8818064A8EB1EAF6A40AFC8EE6",1)</v>
      </c>
      <c r="H200" s="27" t="s">
        <v>382</v>
      </c>
      <c r="I200" s="9" t="s">
        <v>416</v>
      </c>
      <c r="J200" s="15"/>
    </row>
    <row r="201" s="22" customFormat="1" ht="172" customHeight="1" spans="1:10">
      <c r="A201" s="26">
        <v>191</v>
      </c>
      <c r="B201" s="27" t="s">
        <v>417</v>
      </c>
      <c r="C201" s="27" t="s">
        <v>11</v>
      </c>
      <c r="D201" s="27"/>
      <c r="E201" s="15">
        <v>4.3</v>
      </c>
      <c r="F201" s="15">
        <v>309.6</v>
      </c>
      <c r="G201" s="15" t="str">
        <f>_xlfn.DISPIMG("ID_C248FBF4ABC1453BA8D71067F7319636",1)</f>
        <v>=DISPIMG("ID_C248FBF4ABC1453BA8D71067F7319636",1)</v>
      </c>
      <c r="H201" s="27" t="s">
        <v>418</v>
      </c>
      <c r="I201" s="9" t="s">
        <v>419</v>
      </c>
      <c r="J201" s="15"/>
    </row>
    <row r="202" s="22" customFormat="1" ht="172" customHeight="1" spans="1:10">
      <c r="A202" s="26">
        <v>192</v>
      </c>
      <c r="B202" s="27" t="s">
        <v>420</v>
      </c>
      <c r="C202" s="27" t="s">
        <v>11</v>
      </c>
      <c r="D202" s="27"/>
      <c r="E202" s="15">
        <v>9.45</v>
      </c>
      <c r="F202" s="15">
        <v>226.8</v>
      </c>
      <c r="G202" s="15" t="str">
        <f>_xlfn.DISPIMG("ID_527AE2E4C93444B79B4C44E875510CE8",1)</f>
        <v>=DISPIMG("ID_527AE2E4C93444B79B4C44E875510CE8",1)</v>
      </c>
      <c r="H202" s="27" t="s">
        <v>418</v>
      </c>
      <c r="I202" s="9" t="s">
        <v>421</v>
      </c>
      <c r="J202" s="15"/>
    </row>
    <row r="203" s="22" customFormat="1" ht="172" customHeight="1" spans="1:10">
      <c r="A203" s="26">
        <v>193</v>
      </c>
      <c r="B203" s="27" t="s">
        <v>422</v>
      </c>
      <c r="C203" s="27" t="s">
        <v>11</v>
      </c>
      <c r="D203" s="27"/>
      <c r="E203" s="15">
        <v>5.7</v>
      </c>
      <c r="F203" s="15">
        <v>285</v>
      </c>
      <c r="G203" s="15" t="str">
        <f>_xlfn.DISPIMG("ID_AC7986F67DD44B27995840DA32859C8A",1)</f>
        <v>=DISPIMG("ID_AC7986F67DD44B27995840DA32859C8A",1)</v>
      </c>
      <c r="H203" s="27" t="s">
        <v>418</v>
      </c>
      <c r="I203" s="9" t="s">
        <v>423</v>
      </c>
      <c r="J203" s="15"/>
    </row>
    <row r="204" s="22" customFormat="1" ht="172" customHeight="1" spans="1:10">
      <c r="A204" s="26"/>
      <c r="B204" s="31" t="s">
        <v>424</v>
      </c>
      <c r="C204" s="27" t="s">
        <v>11</v>
      </c>
      <c r="D204" s="27"/>
      <c r="E204" s="15">
        <v>50</v>
      </c>
      <c r="F204" s="15"/>
      <c r="G204" s="15"/>
      <c r="H204" s="27" t="s">
        <v>418</v>
      </c>
      <c r="I204" s="33" t="s">
        <v>425</v>
      </c>
      <c r="J204" s="15"/>
    </row>
    <row r="205" s="22" customFormat="1" ht="172" customHeight="1" spans="1:10">
      <c r="A205" s="26"/>
      <c r="B205" s="31" t="s">
        <v>426</v>
      </c>
      <c r="C205" s="27" t="s">
        <v>11</v>
      </c>
      <c r="D205" s="27"/>
      <c r="E205" s="15">
        <v>50</v>
      </c>
      <c r="F205" s="15"/>
      <c r="G205" s="15"/>
      <c r="H205" s="27" t="s">
        <v>418</v>
      </c>
      <c r="I205" s="33" t="s">
        <v>427</v>
      </c>
      <c r="J205" s="15"/>
    </row>
    <row r="206" s="22" customFormat="1" ht="172" customHeight="1" spans="1:10">
      <c r="A206" s="26">
        <v>194</v>
      </c>
      <c r="B206" s="31" t="s">
        <v>428</v>
      </c>
      <c r="C206" s="27" t="s">
        <v>429</v>
      </c>
      <c r="D206" s="27"/>
      <c r="E206" s="15">
        <v>2135</v>
      </c>
      <c r="F206" s="15">
        <v>19629.8</v>
      </c>
      <c r="G206" s="15" t="str">
        <f>_xlfn.DISPIMG("ID_8BA0DB892F9640CD8A4DED18671D2A35",1)</f>
        <v>=DISPIMG("ID_8BA0DB892F9640CD8A4DED18671D2A35",1)</v>
      </c>
      <c r="H206" s="27" t="s">
        <v>418</v>
      </c>
      <c r="I206" s="9" t="s">
        <v>430</v>
      </c>
      <c r="J206" s="15"/>
    </row>
    <row r="207" s="22" customFormat="1" ht="172" customHeight="1" spans="1:10">
      <c r="A207" s="26"/>
      <c r="B207" s="31" t="s">
        <v>431</v>
      </c>
      <c r="C207" s="27" t="s">
        <v>429</v>
      </c>
      <c r="D207" s="27"/>
      <c r="E207" s="15">
        <v>20</v>
      </c>
      <c r="F207" s="15"/>
      <c r="G207" s="15"/>
      <c r="H207" s="27" t="s">
        <v>418</v>
      </c>
      <c r="I207" s="9" t="s">
        <v>432</v>
      </c>
      <c r="J207" s="15"/>
    </row>
    <row r="208" s="22" customFormat="1" ht="172" customHeight="1" spans="1:10">
      <c r="A208" s="26"/>
      <c r="B208" s="31" t="s">
        <v>433</v>
      </c>
      <c r="C208" s="27" t="s">
        <v>11</v>
      </c>
      <c r="D208" s="27"/>
      <c r="E208" s="15">
        <v>1</v>
      </c>
      <c r="F208" s="15"/>
      <c r="G208" s="35"/>
      <c r="H208" s="27" t="s">
        <v>418</v>
      </c>
      <c r="I208" s="9" t="s">
        <v>434</v>
      </c>
      <c r="J208" s="15"/>
    </row>
    <row r="209" s="22" customFormat="1" ht="172" customHeight="1" spans="1:11">
      <c r="A209" s="26"/>
      <c r="B209" s="31" t="s">
        <v>435</v>
      </c>
      <c r="C209" s="27" t="s">
        <v>11</v>
      </c>
      <c r="D209" s="27"/>
      <c r="E209" s="15">
        <v>1</v>
      </c>
      <c r="F209" s="15"/>
      <c r="G209" s="35"/>
      <c r="H209" s="27" t="s">
        <v>418</v>
      </c>
      <c r="I209" s="9" t="s">
        <v>436</v>
      </c>
      <c r="J209" s="15"/>
    </row>
    <row r="210" s="22" customFormat="1" ht="172" customHeight="1" spans="1:11">
      <c r="A210" s="26"/>
      <c r="B210" s="31" t="s">
        <v>437</v>
      </c>
      <c r="C210" s="27" t="s">
        <v>429</v>
      </c>
      <c r="D210" s="27"/>
      <c r="E210" s="15">
        <v>20</v>
      </c>
      <c r="F210" s="15"/>
      <c r="G210" s="35"/>
      <c r="H210" s="27" t="s">
        <v>418</v>
      </c>
      <c r="I210" s="9" t="s">
        <v>430</v>
      </c>
      <c r="J210" s="15"/>
    </row>
    <row r="211" s="22" customFormat="1" ht="172" customHeight="1" spans="1:11">
      <c r="A211" s="26">
        <v>195</v>
      </c>
      <c r="B211" s="27" t="s">
        <v>438</v>
      </c>
      <c r="C211" s="27" t="s">
        <v>160</v>
      </c>
      <c r="D211" s="27"/>
      <c r="E211" s="15">
        <v>68</v>
      </c>
      <c r="F211" s="15">
        <v>885</v>
      </c>
      <c r="G211" s="15" t="str">
        <f>_xlfn.DISPIMG("ID_29119E9D787B419BB6A1B8CCFF237A12",1)</f>
        <v>=DISPIMG("ID_29119E9D787B419BB6A1B8CCFF237A12",1)</v>
      </c>
      <c r="H211" s="27" t="s">
        <v>418</v>
      </c>
      <c r="I211" s="9" t="s">
        <v>432</v>
      </c>
      <c r="J211" s="15"/>
      <c r="K211" s="35"/>
    </row>
    <row r="212" s="22" customFormat="1" ht="172" customHeight="1" spans="1:11">
      <c r="A212" s="26">
        <v>196</v>
      </c>
      <c r="B212" s="27" t="s">
        <v>439</v>
      </c>
      <c r="C212" s="27" t="s">
        <v>160</v>
      </c>
      <c r="D212" s="27"/>
      <c r="E212" s="15">
        <v>81</v>
      </c>
      <c r="F212" s="15">
        <v>2370.9</v>
      </c>
      <c r="G212" s="15" t="str">
        <f>_xlfn.DISPIMG("ID_391E341EB7FA44CF9F89EC3A56AB9047",1)</f>
        <v>=DISPIMG("ID_391E341EB7FA44CF9F89EC3A56AB9047",1)</v>
      </c>
      <c r="H212" s="27" t="s">
        <v>418</v>
      </c>
      <c r="I212" s="9" t="s">
        <v>440</v>
      </c>
      <c r="J212" s="15"/>
    </row>
    <row r="213" s="22" customFormat="1" ht="172" customHeight="1" spans="1:11">
      <c r="A213" s="26">
        <v>197</v>
      </c>
      <c r="B213" s="27" t="s">
        <v>441</v>
      </c>
      <c r="C213" s="27" t="s">
        <v>11</v>
      </c>
      <c r="D213" s="27"/>
      <c r="E213" s="15">
        <v>3.55</v>
      </c>
      <c r="F213" s="28">
        <v>3372.5</v>
      </c>
      <c r="G213" s="15" t="str">
        <f>_xlfn.DISPIMG("ID_4AA9E71F65364D7E8935F6166ACA0DF1",1)</f>
        <v>=DISPIMG("ID_4AA9E71F65364D7E8935F6166ACA0DF1",1)</v>
      </c>
      <c r="H213" s="27" t="s">
        <v>418</v>
      </c>
      <c r="I213" s="9" t="s">
        <v>442</v>
      </c>
      <c r="J213" s="15"/>
    </row>
    <row r="214" s="22" customFormat="1" ht="172" customHeight="1" spans="1:11">
      <c r="A214" s="26">
        <v>198</v>
      </c>
      <c r="B214" s="27" t="s">
        <v>443</v>
      </c>
      <c r="C214" s="27" t="s">
        <v>11</v>
      </c>
      <c r="D214" s="27"/>
      <c r="E214" s="15">
        <v>1901.5</v>
      </c>
      <c r="F214" s="15">
        <v>21875.13</v>
      </c>
      <c r="G214" s="15" t="str">
        <f>_xlfn.DISPIMG("ID_56AF385B99EB48DBA8EE9DCF1803288C",1)</f>
        <v>=DISPIMG("ID_56AF385B99EB48DBA8EE9DCF1803288C",1)</v>
      </c>
      <c r="H214" s="27" t="s">
        <v>418</v>
      </c>
      <c r="I214" s="9" t="s">
        <v>444</v>
      </c>
      <c r="J214" s="15"/>
    </row>
    <row r="215" s="22" customFormat="1" ht="172" customHeight="1" spans="1:11">
      <c r="A215" s="26">
        <v>199</v>
      </c>
      <c r="B215" s="27" t="s">
        <v>445</v>
      </c>
      <c r="C215" s="27" t="s">
        <v>11</v>
      </c>
      <c r="D215" s="27"/>
      <c r="E215" s="15">
        <v>0.1</v>
      </c>
      <c r="F215" s="15">
        <v>12</v>
      </c>
      <c r="G215" s="15" t="str">
        <f>_xlfn.DISPIMG("ID_151D5C5352FF4807AFCF42A09EAFE004",1)</f>
        <v>=DISPIMG("ID_151D5C5352FF4807AFCF42A09EAFE004",1)</v>
      </c>
      <c r="H215" s="27" t="s">
        <v>418</v>
      </c>
      <c r="I215" s="9" t="s">
        <v>446</v>
      </c>
      <c r="J215" s="15"/>
    </row>
    <row r="216" s="22" customFormat="1" ht="172" customHeight="1" spans="1:11">
      <c r="A216" s="26">
        <v>200</v>
      </c>
      <c r="B216" s="27" t="s">
        <v>447</v>
      </c>
      <c r="C216" s="27" t="s">
        <v>11</v>
      </c>
      <c r="D216" s="27"/>
      <c r="E216" s="15">
        <v>0.5</v>
      </c>
      <c r="F216" s="15">
        <v>110.09</v>
      </c>
      <c r="G216" s="15" t="str">
        <f>_xlfn.DISPIMG("ID_B3225EDE48024E8EACE70D16315E964A",1)</f>
        <v>=DISPIMG("ID_B3225EDE48024E8EACE70D16315E964A",1)</v>
      </c>
      <c r="H216" s="27" t="s">
        <v>448</v>
      </c>
      <c r="I216" s="9" t="s">
        <v>449</v>
      </c>
      <c r="J216" s="15"/>
    </row>
    <row r="217" s="22" customFormat="1" ht="172" customHeight="1" spans="1:11">
      <c r="A217" s="26"/>
      <c r="B217" s="31" t="s">
        <v>450</v>
      </c>
      <c r="C217" s="27" t="s">
        <v>11</v>
      </c>
      <c r="D217" s="27"/>
      <c r="E217" s="15">
        <v>100</v>
      </c>
      <c r="F217" s="15"/>
      <c r="G217" s="16" t="str">
        <f>_xlfn.DISPIMG("ID_C3DF12CE0AED4624A371DA13CB74921B",1)</f>
        <v>=DISPIMG("ID_C3DF12CE0AED4624A371DA13CB74921B",1)</v>
      </c>
      <c r="H217" s="27" t="s">
        <v>448</v>
      </c>
      <c r="I217" s="9" t="s">
        <v>451</v>
      </c>
      <c r="J217" s="15"/>
    </row>
    <row r="218" s="22" customFormat="1" ht="172" customHeight="1" spans="1:11">
      <c r="A218" s="26"/>
      <c r="B218" s="31" t="s">
        <v>452</v>
      </c>
      <c r="C218" s="27" t="s">
        <v>11</v>
      </c>
      <c r="D218" s="27"/>
      <c r="E218" s="15">
        <v>100</v>
      </c>
      <c r="F218" s="15"/>
      <c r="G218" s="16" t="str">
        <f>_xlfn.DISPIMG("ID_37A308017FF24C06BB7BF7A76C63DEAD",1)</f>
        <v>=DISPIMG("ID_37A308017FF24C06BB7BF7A76C63DEAD",1)</v>
      </c>
      <c r="H218" s="27"/>
      <c r="I218" s="9" t="s">
        <v>453</v>
      </c>
      <c r="J218" s="15"/>
    </row>
    <row r="219" s="22" customFormat="1" ht="172" customHeight="1" spans="1:11">
      <c r="A219" s="26"/>
      <c r="B219" s="31" t="s">
        <v>454</v>
      </c>
      <c r="C219" s="27" t="s">
        <v>11</v>
      </c>
      <c r="D219" s="27"/>
      <c r="E219" s="15">
        <v>100</v>
      </c>
      <c r="F219" s="15"/>
      <c r="G219" s="16" t="str">
        <f>_xlfn.DISPIMG("ID_72A323916A09437DB9C23BA6FCBC074B",1)</f>
        <v>=DISPIMG("ID_72A323916A09437DB9C23BA6FCBC074B",1)</v>
      </c>
      <c r="H219" s="27"/>
      <c r="I219" s="9" t="s">
        <v>455</v>
      </c>
      <c r="J219" s="15"/>
    </row>
    <row r="220" s="22" customFormat="1" ht="172" customHeight="1" spans="1:11">
      <c r="A220" s="26"/>
      <c r="B220" s="31" t="s">
        <v>456</v>
      </c>
      <c r="C220" s="27" t="s">
        <v>11</v>
      </c>
      <c r="D220" s="27"/>
      <c r="E220" s="15">
        <v>100</v>
      </c>
      <c r="F220" s="15"/>
      <c r="G220" s="16" t="str">
        <f>_xlfn.DISPIMG("ID_A28DF8DDFA934A9FBA43A5E73C9A650D",1)</f>
        <v>=DISPIMG("ID_A28DF8DDFA934A9FBA43A5E73C9A650D",1)</v>
      </c>
      <c r="H220" s="27"/>
      <c r="I220" s="9" t="s">
        <v>457</v>
      </c>
      <c r="J220" s="15"/>
    </row>
    <row r="221" s="22" customFormat="1" ht="172" customHeight="1" spans="1:11">
      <c r="A221" s="26"/>
      <c r="B221" s="31" t="s">
        <v>458</v>
      </c>
      <c r="C221" s="27" t="s">
        <v>11</v>
      </c>
      <c r="D221" s="27"/>
      <c r="E221" s="15">
        <v>50</v>
      </c>
      <c r="F221" s="15"/>
      <c r="G221" s="16" t="str">
        <f>_xlfn.DISPIMG("ID_940D872CC8F341E8881CFD97A02895EE",1)</f>
        <v>=DISPIMG("ID_940D872CC8F341E8881CFD97A02895EE",1)</v>
      </c>
      <c r="H221" s="27"/>
      <c r="I221" s="9" t="s">
        <v>459</v>
      </c>
      <c r="J221" s="15"/>
    </row>
    <row r="222" s="22" customFormat="1" ht="172" customHeight="1" spans="1:11">
      <c r="A222" s="26"/>
      <c r="B222" s="31" t="s">
        <v>460</v>
      </c>
      <c r="C222" s="27" t="s">
        <v>11</v>
      </c>
      <c r="D222" s="27"/>
      <c r="E222" s="15">
        <v>50</v>
      </c>
      <c r="F222" s="15"/>
      <c r="G222" s="16" t="str">
        <f>_xlfn.DISPIMG("ID_1D83872319204C19A145316DA9B045BD",1)</f>
        <v>=DISPIMG("ID_1D83872319204C19A145316DA9B045BD",1)</v>
      </c>
      <c r="H222" s="27"/>
      <c r="I222" s="9" t="s">
        <v>461</v>
      </c>
      <c r="J222" s="15"/>
    </row>
    <row r="223" s="22" customFormat="1" ht="172" customHeight="1" spans="1:11">
      <c r="A223" s="26"/>
      <c r="B223" s="31" t="s">
        <v>462</v>
      </c>
      <c r="C223" s="27" t="s">
        <v>11</v>
      </c>
      <c r="D223" s="27"/>
      <c r="E223" s="15">
        <v>500</v>
      </c>
      <c r="F223" s="15"/>
      <c r="G223" s="16" t="str">
        <f>_xlfn.DISPIMG("ID_1711A186A2024910A3BAE5FEBF7E5C62",1)</f>
        <v>=DISPIMG("ID_1711A186A2024910A3BAE5FEBF7E5C62",1)</v>
      </c>
      <c r="H223" s="27"/>
      <c r="I223" s="9" t="s">
        <v>463</v>
      </c>
      <c r="J223" s="15"/>
    </row>
    <row r="224" s="22" customFormat="1" ht="172" customHeight="1" spans="1:11">
      <c r="A224" s="26"/>
      <c r="B224" s="31" t="s">
        <v>464</v>
      </c>
      <c r="C224" s="27" t="s">
        <v>11</v>
      </c>
      <c r="D224" s="27"/>
      <c r="E224" s="15">
        <v>20</v>
      </c>
      <c r="F224" s="15"/>
      <c r="G224" s="16" t="str">
        <f>_xlfn.DISPIMG("ID_CACFDAE7FC7F455793478A378E6EDC64",1)</f>
        <v>=DISPIMG("ID_CACFDAE7FC7F455793478A378E6EDC64",1)</v>
      </c>
      <c r="H224" s="27"/>
      <c r="I224" s="9" t="s">
        <v>465</v>
      </c>
      <c r="J224" s="15" t="s">
        <v>385</v>
      </c>
    </row>
    <row r="225" s="22" customFormat="1" ht="172" customHeight="1" spans="1:10">
      <c r="A225" s="26"/>
      <c r="B225" s="31" t="s">
        <v>466</v>
      </c>
      <c r="C225" s="27" t="s">
        <v>11</v>
      </c>
      <c r="D225" s="27"/>
      <c r="E225" s="15">
        <v>100</v>
      </c>
      <c r="F225" s="15"/>
      <c r="G225" s="16" t="str">
        <f>_xlfn.DISPIMG("ID_F2F3527DF4EF46AEA01066FA8A6125DE",1)</f>
        <v>=DISPIMG("ID_F2F3527DF4EF46AEA01066FA8A6125DE",1)</v>
      </c>
      <c r="H225" s="27"/>
      <c r="I225" s="9" t="s">
        <v>467</v>
      </c>
      <c r="J225" s="15"/>
    </row>
    <row r="226" s="22" customFormat="1" ht="172" customHeight="1" spans="1:10">
      <c r="A226" s="26"/>
      <c r="B226" s="31" t="s">
        <v>468</v>
      </c>
      <c r="C226" s="27" t="s">
        <v>11</v>
      </c>
      <c r="D226" s="27"/>
      <c r="E226" s="15">
        <v>200</v>
      </c>
      <c r="F226" s="15"/>
      <c r="G226" s="16" t="str">
        <f>_xlfn.DISPIMG("ID_0EB28338E7C74E62AD5DDE47FE02D87D",1)</f>
        <v>=DISPIMG("ID_0EB28338E7C74E62AD5DDE47FE02D87D",1)</v>
      </c>
      <c r="H226" s="27"/>
      <c r="I226" s="9" t="s">
        <v>469</v>
      </c>
      <c r="J226" s="15"/>
    </row>
    <row r="227" s="22" customFormat="1" ht="172" customHeight="1" spans="1:10">
      <c r="A227" s="26"/>
      <c r="B227" s="31" t="s">
        <v>470</v>
      </c>
      <c r="C227" s="27" t="s">
        <v>11</v>
      </c>
      <c r="D227" s="27"/>
      <c r="E227" s="15">
        <v>50</v>
      </c>
      <c r="F227" s="15"/>
      <c r="G227" s="16" t="str">
        <f>_xlfn.DISPIMG("ID_7929FE5F4FEF454B898D1C640F37934D",1)</f>
        <v>=DISPIMG("ID_7929FE5F4FEF454B898D1C640F37934D",1)</v>
      </c>
      <c r="H227" s="27"/>
      <c r="I227" s="9" t="s">
        <v>471</v>
      </c>
      <c r="J227" s="15"/>
    </row>
    <row r="228" s="22" customFormat="1" ht="172" customHeight="1" spans="1:10">
      <c r="A228" s="26"/>
      <c r="B228" s="31" t="s">
        <v>472</v>
      </c>
      <c r="C228" s="27" t="s">
        <v>11</v>
      </c>
      <c r="D228" s="15"/>
      <c r="E228" s="15">
        <v>300</v>
      </c>
      <c r="F228" s="15"/>
      <c r="G228" s="16" t="str">
        <f>_xlfn.DISPIMG("ID_9F3871C0DC784BD2A9B56AFA16C83AD7",1)</f>
        <v>=DISPIMG("ID_9F3871C0DC784BD2A9B56AFA16C83AD7",1)</v>
      </c>
      <c r="H228" s="27"/>
      <c r="I228" s="9" t="s">
        <v>473</v>
      </c>
      <c r="J228" s="27" t="s">
        <v>474</v>
      </c>
    </row>
    <row r="229" s="22" customFormat="1" ht="172" customHeight="1" spans="1:10">
      <c r="A229" s="35"/>
      <c r="B229" s="31" t="s">
        <v>475</v>
      </c>
      <c r="C229" s="27" t="s">
        <v>11</v>
      </c>
      <c r="D229" s="15"/>
      <c r="E229" s="15">
        <v>50</v>
      </c>
      <c r="F229" s="15"/>
      <c r="G229" s="16" t="str">
        <f>_xlfn.DISPIMG("ID_A8F242AADF254C83BF501C1FF627AB5D",1)</f>
        <v>=DISPIMG("ID_A8F242AADF254C83BF501C1FF627AB5D",1)</v>
      </c>
      <c r="H229" s="27"/>
      <c r="I229" s="9" t="s">
        <v>476</v>
      </c>
      <c r="J229" s="27" t="s">
        <v>477</v>
      </c>
    </row>
    <row r="230" s="21" customFormat="1" ht="78" customHeight="1" spans="1:10">
      <c r="A230" s="26">
        <v>201</v>
      </c>
      <c r="B230" s="27" t="s">
        <v>478</v>
      </c>
      <c r="C230" s="27" t="s">
        <v>11</v>
      </c>
      <c r="D230" s="15"/>
      <c r="E230" s="15">
        <v>100</v>
      </c>
      <c r="F230" s="15">
        <v>4890</v>
      </c>
      <c r="G230" s="15" t="str">
        <f>_xlfn.DISPIMG("ID_5B086361C86F4124A6A29F0C0197E377",1)</f>
        <v>=DISPIMG("ID_5B086361C86F4124A6A29F0C0197E377",1)</v>
      </c>
      <c r="H230" s="27" t="s">
        <v>17</v>
      </c>
      <c r="I230" s="36" t="s">
        <v>479</v>
      </c>
      <c r="J230" s="37"/>
    </row>
    <row r="231" s="21" customFormat="1" ht="185.1" spans="1:10">
      <c r="A231" s="38">
        <v>1</v>
      </c>
      <c r="B231" s="16" t="s">
        <v>480</v>
      </c>
      <c r="C231" s="16" t="s">
        <v>11</v>
      </c>
      <c r="D231" s="16"/>
      <c r="E231" s="16">
        <v>616</v>
      </c>
      <c r="F231" s="16">
        <v>10903.2</v>
      </c>
      <c r="G231" s="16" t="str">
        <f>_xlfn.DISPIMG("ID_373A02504BE2414A8F954A78CB36905B",1)</f>
        <v>=DISPIMG("ID_373A02504BE2414A8F954A78CB36905B",1)</v>
      </c>
      <c r="H231" s="16" t="s">
        <v>12</v>
      </c>
      <c r="I231" s="9" t="s">
        <v>481</v>
      </c>
      <c r="J231" s="16" t="s">
        <v>482</v>
      </c>
    </row>
    <row r="232" s="21" customFormat="1" ht="108.75" spans="1:10">
      <c r="A232" s="38">
        <v>2</v>
      </c>
      <c r="B232" s="16" t="s">
        <v>10</v>
      </c>
      <c r="C232" s="16" t="s">
        <v>483</v>
      </c>
      <c r="D232" s="16" t="s">
        <v>484</v>
      </c>
      <c r="E232" s="16">
        <v>225</v>
      </c>
      <c r="F232" s="16">
        <v>6569.99</v>
      </c>
      <c r="G232" s="16" t="str">
        <f>_xlfn.DISPIMG("ID_6957EE4F49EC45688AC04C805A4B34A2",1)</f>
        <v>=DISPIMG("ID_6957EE4F49EC45688AC04C805A4B34A2",1)</v>
      </c>
      <c r="H232" s="16" t="s">
        <v>12</v>
      </c>
      <c r="I232" s="9" t="s">
        <v>13</v>
      </c>
      <c r="J232" s="16" t="s">
        <v>485</v>
      </c>
    </row>
    <row r="233" s="21" customFormat="1" ht="108.95" spans="1:10">
      <c r="A233" s="38">
        <v>3</v>
      </c>
      <c r="B233" s="16" t="s">
        <v>486</v>
      </c>
      <c r="C233" s="16" t="s">
        <v>11</v>
      </c>
      <c r="D233" s="16"/>
      <c r="E233" s="16">
        <v>57</v>
      </c>
      <c r="F233" s="16">
        <v>5061.68</v>
      </c>
      <c r="G233" s="16" t="str">
        <f>_xlfn.DISPIMG("ID_C09BD44B6E3C43DC91E02EBE477327E6",1)</f>
        <v>=DISPIMG("ID_C09BD44B6E3C43DC91E02EBE477327E6",1)</v>
      </c>
      <c r="H233" s="16" t="s">
        <v>12</v>
      </c>
      <c r="I233" s="9" t="s">
        <v>15</v>
      </c>
      <c r="J233" s="16"/>
    </row>
    <row r="234" s="21" customFormat="1" ht="141.75" spans="1:10">
      <c r="A234" s="38">
        <v>4</v>
      </c>
      <c r="B234" s="16" t="s">
        <v>21</v>
      </c>
      <c r="C234" s="16" t="s">
        <v>487</v>
      </c>
      <c r="D234" s="16"/>
      <c r="E234" s="16">
        <v>25962</v>
      </c>
      <c r="F234" s="16">
        <v>38943.63</v>
      </c>
      <c r="G234" s="16" t="str">
        <f>_xlfn.DISPIMG("ID_B21012D3633B45F286A2AE5A1725499A",1)</f>
        <v>=DISPIMG("ID_B21012D3633B45F286A2AE5A1725499A",1)</v>
      </c>
      <c r="H234" s="16" t="s">
        <v>17</v>
      </c>
      <c r="I234" s="9" t="s">
        <v>24</v>
      </c>
      <c r="J234" s="16" t="s">
        <v>488</v>
      </c>
    </row>
    <row r="235" s="21" customFormat="1" ht="219" spans="1:10">
      <c r="A235" s="38">
        <v>5</v>
      </c>
      <c r="B235" s="16" t="s">
        <v>489</v>
      </c>
      <c r="C235" s="16" t="s">
        <v>11</v>
      </c>
      <c r="D235" s="16"/>
      <c r="E235" s="16">
        <v>3880.9</v>
      </c>
      <c r="F235" s="16">
        <v>34346.46</v>
      </c>
      <c r="G235" s="16" t="str">
        <f>_xlfn.DISPIMG("ID_249BB8010CDC4CF68647C88EFE9CA533",1)</f>
        <v>=DISPIMG("ID_249BB8010CDC4CF68647C88EFE9CA533",1)</v>
      </c>
      <c r="H235" s="16" t="s">
        <v>17</v>
      </c>
      <c r="I235" s="9" t="s">
        <v>490</v>
      </c>
      <c r="J235" s="16" t="s">
        <v>482</v>
      </c>
    </row>
    <row r="236" s="21" customFormat="1" ht="234.65" spans="1:10">
      <c r="A236" s="38">
        <v>6</v>
      </c>
      <c r="B236" s="16" t="s">
        <v>97</v>
      </c>
      <c r="C236" s="16" t="s">
        <v>11</v>
      </c>
      <c r="D236" s="16"/>
      <c r="E236" s="16">
        <v>803.8</v>
      </c>
      <c r="F236" s="16">
        <v>28020.46</v>
      </c>
      <c r="G236" s="16" t="str">
        <f>_xlfn.DISPIMG("ID_3D7AF8F21ED94FE0A0CA4283DA9B6AE7",1)</f>
        <v>=DISPIMG("ID_3D7AF8F21ED94FE0A0CA4283DA9B6AE7",1)</v>
      </c>
      <c r="H236" s="16" t="s">
        <v>17</v>
      </c>
      <c r="I236" s="9" t="s">
        <v>98</v>
      </c>
      <c r="J236" s="16" t="s">
        <v>485</v>
      </c>
    </row>
    <row r="237" s="21" customFormat="1" ht="150.25" spans="1:10">
      <c r="A237" s="38">
        <v>7</v>
      </c>
      <c r="B237" s="16" t="s">
        <v>122</v>
      </c>
      <c r="C237" s="16" t="s">
        <v>11</v>
      </c>
      <c r="D237" s="16"/>
      <c r="E237" s="16">
        <v>413.85</v>
      </c>
      <c r="F237" s="16">
        <v>26370.37</v>
      </c>
      <c r="G237" s="16" t="str">
        <f>_xlfn.DISPIMG("ID_3D93FD15A4C24B868A084A7D8CC58C49",1)</f>
        <v>=DISPIMG("ID_3D93FD15A4C24B868A084A7D8CC58C49",1)</v>
      </c>
      <c r="H237" s="16" t="s">
        <v>17</v>
      </c>
      <c r="I237" s="9" t="s">
        <v>123</v>
      </c>
      <c r="J237" s="16" t="s">
        <v>482</v>
      </c>
    </row>
    <row r="238" s="21" customFormat="1" ht="108.75" spans="1:10">
      <c r="A238" s="38">
        <v>8</v>
      </c>
      <c r="B238" s="16" t="s">
        <v>86</v>
      </c>
      <c r="C238" s="16" t="s">
        <v>11</v>
      </c>
      <c r="D238" s="16"/>
      <c r="E238" s="16">
        <v>2460.4</v>
      </c>
      <c r="F238" s="16">
        <v>24825.5</v>
      </c>
      <c r="G238" s="16" t="str">
        <f>_xlfn.DISPIMG("ID_F57C9D0FBC4B48B2B2551AB6C29D77A2",1)</f>
        <v>=DISPIMG("ID_F57C9D0FBC4B48B2B2551AB6C29D77A2",1)</v>
      </c>
      <c r="H238" s="16" t="s">
        <v>17</v>
      </c>
      <c r="I238" s="9" t="s">
        <v>87</v>
      </c>
      <c r="J238" s="16" t="s">
        <v>491</v>
      </c>
    </row>
    <row r="239" s="21" customFormat="1" ht="134.25" spans="1:10">
      <c r="A239" s="38">
        <v>9</v>
      </c>
      <c r="B239" s="16" t="s">
        <v>25</v>
      </c>
      <c r="C239" s="16" t="s">
        <v>11</v>
      </c>
      <c r="D239" s="16"/>
      <c r="E239" s="16">
        <v>1227.25</v>
      </c>
      <c r="F239" s="16">
        <v>24765.9</v>
      </c>
      <c r="G239" s="16" t="str">
        <f>_xlfn.DISPIMG("ID_C7BE622D1DE14BBF8457D663B1C89008",1)</f>
        <v>=DISPIMG("ID_C7BE622D1DE14BBF8457D663B1C89008",1)</v>
      </c>
      <c r="H239" s="16" t="s">
        <v>17</v>
      </c>
      <c r="I239" s="9" t="s">
        <v>26</v>
      </c>
      <c r="J239" s="16" t="s">
        <v>482</v>
      </c>
    </row>
    <row r="240" s="21" customFormat="1" ht="154.5" spans="1:10">
      <c r="A240" s="38">
        <v>10</v>
      </c>
      <c r="B240" s="16" t="s">
        <v>56</v>
      </c>
      <c r="C240" s="16" t="s">
        <v>11</v>
      </c>
      <c r="D240" s="16"/>
      <c r="E240" s="16">
        <v>2922.7</v>
      </c>
      <c r="F240" s="16">
        <v>24141.41</v>
      </c>
      <c r="G240" s="39" t="str">
        <f>_xlfn.DISPIMG("ID_0FFD21A84DBE4146BE0E2BD5611FD087",1)</f>
        <v>=DISPIMG("ID_0FFD21A84DBE4146BE0E2BD5611FD087",1)</v>
      </c>
      <c r="H240" s="16" t="s">
        <v>17</v>
      </c>
      <c r="I240" s="9" t="s">
        <v>57</v>
      </c>
      <c r="J240" s="16" t="s">
        <v>485</v>
      </c>
    </row>
    <row r="241" s="21" customFormat="1" ht="190.3" spans="1:10">
      <c r="A241" s="38">
        <v>11</v>
      </c>
      <c r="B241" s="16" t="s">
        <v>120</v>
      </c>
      <c r="C241" s="16" t="s">
        <v>11</v>
      </c>
      <c r="D241" s="16"/>
      <c r="E241" s="16">
        <v>358</v>
      </c>
      <c r="F241" s="16">
        <v>22650.29</v>
      </c>
      <c r="G241" s="16" t="str">
        <f>_xlfn.DISPIMG("ID_581331CEE0C24AD9979DC9001E5F671A",1)</f>
        <v>=DISPIMG("ID_581331CEE0C24AD9979DC9001E5F671A",1)</v>
      </c>
      <c r="H241" s="16" t="s">
        <v>17</v>
      </c>
      <c r="I241" s="9" t="s">
        <v>121</v>
      </c>
      <c r="J241" s="16" t="s">
        <v>482</v>
      </c>
    </row>
    <row r="242" s="21" customFormat="1" ht="86.25" spans="1:10">
      <c r="A242" s="38">
        <v>12</v>
      </c>
      <c r="B242" s="16" t="s">
        <v>40</v>
      </c>
      <c r="C242" s="16" t="s">
        <v>11</v>
      </c>
      <c r="D242" s="16"/>
      <c r="E242" s="16">
        <v>1690.35</v>
      </c>
      <c r="F242" s="16">
        <v>16447.15</v>
      </c>
      <c r="G242" s="16" t="str">
        <f>_xlfn.DISPIMG("ID_BE9CB32772C44E9C81D98A6DC290954B",1)</f>
        <v>=DISPIMG("ID_BE9CB32772C44E9C81D98A6DC290954B",1)</v>
      </c>
      <c r="H242" s="16" t="s">
        <v>17</v>
      </c>
      <c r="I242" s="9" t="s">
        <v>41</v>
      </c>
      <c r="J242" s="16" t="s">
        <v>482</v>
      </c>
    </row>
    <row r="243" s="21" customFormat="1" ht="162.25" spans="1:10">
      <c r="A243" s="38">
        <v>13</v>
      </c>
      <c r="B243" s="16" t="s">
        <v>95</v>
      </c>
      <c r="C243" s="16" t="s">
        <v>11</v>
      </c>
      <c r="D243" s="16"/>
      <c r="E243" s="16">
        <v>1635.7</v>
      </c>
      <c r="F243" s="16">
        <v>14263.5</v>
      </c>
      <c r="G243" s="16" t="str">
        <f>_xlfn.DISPIMG("ID_940B72F28601449C94D18FB73B830373",1)</f>
        <v>=DISPIMG("ID_940B72F28601449C94D18FB73B830373",1)</v>
      </c>
      <c r="H243" s="16" t="s">
        <v>17</v>
      </c>
      <c r="I243" s="9" t="s">
        <v>96</v>
      </c>
      <c r="J243" s="16" t="s">
        <v>482</v>
      </c>
    </row>
    <row r="244" s="21" customFormat="1" ht="84" spans="1:10">
      <c r="A244" s="38">
        <v>14</v>
      </c>
      <c r="B244" s="16" t="s">
        <v>38</v>
      </c>
      <c r="C244" s="16" t="s">
        <v>11</v>
      </c>
      <c r="D244" s="16"/>
      <c r="E244" s="16">
        <v>815.2</v>
      </c>
      <c r="F244" s="16">
        <v>14208.94</v>
      </c>
      <c r="G244" s="16" t="str">
        <f>_xlfn.DISPIMG("ID_06F23CEF16AD45E5A024EE285947A626",1)</f>
        <v>=DISPIMG("ID_06F23CEF16AD45E5A024EE285947A626",1)</v>
      </c>
      <c r="H244" s="16" t="s">
        <v>17</v>
      </c>
      <c r="I244" s="9" t="s">
        <v>39</v>
      </c>
      <c r="J244" s="16" t="s">
        <v>482</v>
      </c>
    </row>
    <row r="245" s="21" customFormat="1" ht="162" spans="1:10">
      <c r="A245" s="38">
        <v>15</v>
      </c>
      <c r="B245" s="16" t="s">
        <v>46</v>
      </c>
      <c r="C245" s="16" t="s">
        <v>11</v>
      </c>
      <c r="D245" s="16"/>
      <c r="E245" s="16">
        <v>1219.95</v>
      </c>
      <c r="F245" s="16">
        <v>12309.29</v>
      </c>
      <c r="G245" s="16" t="str">
        <f>_xlfn.DISPIMG("ID_EAA20427226147D4961802BCD3D74BDB",1)</f>
        <v>=DISPIMG("ID_EAA20427226147D4961802BCD3D74BDB",1)</v>
      </c>
      <c r="H245" s="16" t="s">
        <v>17</v>
      </c>
      <c r="I245" s="9" t="s">
        <v>47</v>
      </c>
      <c r="J245" s="16" t="s">
        <v>482</v>
      </c>
    </row>
    <row r="246" s="21" customFormat="1" ht="127.5" spans="1:10">
      <c r="A246" s="38">
        <v>16</v>
      </c>
      <c r="B246" s="16" t="s">
        <v>50</v>
      </c>
      <c r="C246" s="16" t="s">
        <v>11</v>
      </c>
      <c r="D246" s="16"/>
      <c r="E246" s="16">
        <v>823.15</v>
      </c>
      <c r="F246" s="16">
        <v>11326.53</v>
      </c>
      <c r="G246" s="16" t="str">
        <f>_xlfn.DISPIMG("ID_405F2B4E20DF45769168B71D8AAFD490",1)</f>
        <v>=DISPIMG("ID_405F2B4E20DF45769168B71D8AAFD490",1)</v>
      </c>
      <c r="H246" s="16" t="s">
        <v>17</v>
      </c>
      <c r="I246" s="9" t="s">
        <v>51</v>
      </c>
      <c r="J246" s="16" t="s">
        <v>482</v>
      </c>
    </row>
    <row r="247" s="21" customFormat="1" ht="133.5" spans="1:10">
      <c r="A247" s="38">
        <v>17</v>
      </c>
      <c r="B247" s="16" t="s">
        <v>69</v>
      </c>
      <c r="C247" s="16" t="s">
        <v>11</v>
      </c>
      <c r="D247" s="16"/>
      <c r="E247" s="16">
        <v>1222.4</v>
      </c>
      <c r="F247" s="16">
        <v>10097.04</v>
      </c>
      <c r="G247" s="16" t="str">
        <f>_xlfn.DISPIMG("ID_6832AA8718BE4F7694FDBEC1EFF6A85D",1)</f>
        <v>=DISPIMG("ID_6832AA8718BE4F7694FDBEC1EFF6A85D",1)</v>
      </c>
      <c r="H247" s="16" t="s">
        <v>17</v>
      </c>
      <c r="I247" s="9" t="s">
        <v>70</v>
      </c>
      <c r="J247" s="16" t="s">
        <v>485</v>
      </c>
    </row>
    <row r="248" s="21" customFormat="1" ht="202.45" spans="1:10">
      <c r="A248" s="38">
        <v>18</v>
      </c>
      <c r="B248" s="16" t="s">
        <v>492</v>
      </c>
      <c r="C248" s="16" t="s">
        <v>11</v>
      </c>
      <c r="D248" s="16"/>
      <c r="E248" s="16">
        <v>272.8</v>
      </c>
      <c r="F248" s="16">
        <v>9509.81</v>
      </c>
      <c r="G248" s="16" t="str">
        <f>_xlfn.DISPIMG("ID_803B8DD3E9F244F28264F8F9A8979591",1)</f>
        <v>=DISPIMG("ID_803B8DD3E9F244F28264F8F9A8979591",1)</v>
      </c>
      <c r="H248" s="16" t="s">
        <v>17</v>
      </c>
      <c r="I248" s="9" t="s">
        <v>493</v>
      </c>
      <c r="J248" s="16" t="s">
        <v>485</v>
      </c>
    </row>
    <row r="249" s="21" customFormat="1" ht="190.35" spans="1:10">
      <c r="A249" s="38">
        <v>19</v>
      </c>
      <c r="B249" s="16" t="s">
        <v>101</v>
      </c>
      <c r="C249" s="16" t="s">
        <v>11</v>
      </c>
      <c r="D249" s="16"/>
      <c r="E249" s="16">
        <v>1030.6</v>
      </c>
      <c r="F249" s="16">
        <v>9450.85000000002</v>
      </c>
      <c r="G249" s="16" t="str">
        <f>_xlfn.DISPIMG("ID_F6D61D5D5D5E4D4F834E2111787D1B5E",1)</f>
        <v>=DISPIMG("ID_F6D61D5D5D5E4D4F834E2111787D1B5E",1)</v>
      </c>
      <c r="H249" s="16" t="s">
        <v>17</v>
      </c>
      <c r="I249" s="9" t="s">
        <v>102</v>
      </c>
      <c r="J249" s="16" t="s">
        <v>485</v>
      </c>
    </row>
    <row r="250" s="21" customFormat="1" ht="205.65" spans="1:10">
      <c r="A250" s="38">
        <v>20</v>
      </c>
      <c r="B250" s="16" t="s">
        <v>19</v>
      </c>
      <c r="C250" s="16" t="s">
        <v>11</v>
      </c>
      <c r="D250" s="16"/>
      <c r="E250" s="16">
        <v>627.65</v>
      </c>
      <c r="F250" s="16">
        <v>9439.91</v>
      </c>
      <c r="G250" s="16" t="str">
        <f>_xlfn.DISPIMG("ID_95A6871B0BBC4999ABD93EC1DAC9C42D",1)</f>
        <v>=DISPIMG("ID_95A6871B0BBC4999ABD93EC1DAC9C42D",1)</v>
      </c>
      <c r="H250" s="16" t="s">
        <v>17</v>
      </c>
      <c r="I250" s="9" t="s">
        <v>20</v>
      </c>
      <c r="J250" s="16" t="s">
        <v>482</v>
      </c>
    </row>
    <row r="251" s="21" customFormat="1" ht="77.25" spans="1:10">
      <c r="A251" s="38">
        <v>21</v>
      </c>
      <c r="B251" s="16" t="s">
        <v>79</v>
      </c>
      <c r="C251" s="16" t="s">
        <v>11</v>
      </c>
      <c r="D251" s="16"/>
      <c r="E251" s="16">
        <v>121.45</v>
      </c>
      <c r="F251" s="16">
        <v>8690.95</v>
      </c>
      <c r="G251" s="16" t="str">
        <f>_xlfn.DISPIMG("ID_303B5E465D4142199C1C6FEC53AFFF81",1)</f>
        <v>=DISPIMG("ID_303B5E465D4142199C1C6FEC53AFFF81",1)</v>
      </c>
      <c r="H251" s="16" t="s">
        <v>17</v>
      </c>
      <c r="I251" s="9" t="s">
        <v>80</v>
      </c>
      <c r="J251" s="16" t="s">
        <v>482</v>
      </c>
    </row>
    <row r="252" s="21" customFormat="1" ht="90.75" spans="1:10">
      <c r="A252" s="38">
        <v>22</v>
      </c>
      <c r="B252" s="16" t="s">
        <v>99</v>
      </c>
      <c r="C252" s="16" t="s">
        <v>11</v>
      </c>
      <c r="D252" s="16"/>
      <c r="E252" s="16">
        <v>945.750000000001</v>
      </c>
      <c r="F252" s="16">
        <v>8246.98</v>
      </c>
      <c r="G252" s="16" t="str">
        <f>_xlfn.DISPIMG("ID_B0DC27B948654C97BD99859C14688131",1)</f>
        <v>=DISPIMG("ID_B0DC27B948654C97BD99859C14688131",1)</v>
      </c>
      <c r="H252" s="16" t="s">
        <v>17</v>
      </c>
      <c r="I252" s="9" t="s">
        <v>100</v>
      </c>
      <c r="J252" s="16" t="s">
        <v>485</v>
      </c>
    </row>
    <row r="253" s="21" customFormat="1" ht="148.65" spans="1:10">
      <c r="A253" s="38">
        <v>23</v>
      </c>
      <c r="B253" s="16" t="s">
        <v>103</v>
      </c>
      <c r="C253" s="16" t="s">
        <v>11</v>
      </c>
      <c r="D253" s="16"/>
      <c r="E253" s="16">
        <v>864.400000000001</v>
      </c>
      <c r="F253" s="16">
        <v>7140.4</v>
      </c>
      <c r="G253" s="16" t="str">
        <f>_xlfn.DISPIMG("ID_6376C3B56F7C4566BF357FE723CABC2E",1)</f>
        <v>=DISPIMG("ID_6376C3B56F7C4566BF357FE723CABC2E",1)</v>
      </c>
      <c r="H253" s="16" t="s">
        <v>17</v>
      </c>
      <c r="I253" s="9" t="s">
        <v>104</v>
      </c>
      <c r="J253" s="16" t="s">
        <v>482</v>
      </c>
    </row>
    <row r="254" s="21" customFormat="1" ht="150" spans="1:10">
      <c r="A254" s="38">
        <v>24</v>
      </c>
      <c r="B254" s="16" t="s">
        <v>494</v>
      </c>
      <c r="C254" s="16" t="s">
        <v>11</v>
      </c>
      <c r="D254" s="16"/>
      <c r="E254" s="16">
        <v>125.2</v>
      </c>
      <c r="F254" s="16">
        <v>6777.05000000001</v>
      </c>
      <c r="G254" s="40" t="str">
        <f>_xlfn.DISPIMG("ID_174B628DE6504694B3C6C1A1BDE0C8E1",1)</f>
        <v>=DISPIMG("ID_174B628DE6504694B3C6C1A1BDE0C8E1",1)</v>
      </c>
      <c r="H254" s="16" t="s">
        <v>17</v>
      </c>
      <c r="I254" s="9" t="s">
        <v>63</v>
      </c>
      <c r="J254" s="16" t="s">
        <v>495</v>
      </c>
    </row>
    <row r="255" s="21" customFormat="1" ht="201.55" spans="1:10">
      <c r="A255" s="38">
        <v>25</v>
      </c>
      <c r="B255" s="16" t="s">
        <v>496</v>
      </c>
      <c r="C255" s="16" t="s">
        <v>11</v>
      </c>
      <c r="D255" s="16"/>
      <c r="E255" s="16">
        <v>802.75</v>
      </c>
      <c r="F255" s="16">
        <v>6630.74999999999</v>
      </c>
      <c r="G255" s="16" t="str">
        <f>_xlfn.DISPIMG("ID_7BD7E8A5E9E4462AA99A80656DE9DE66",1)</f>
        <v>=DISPIMG("ID_7BD7E8A5E9E4462AA99A80656DE9DE66",1)</v>
      </c>
      <c r="H255" s="16" t="s">
        <v>17</v>
      </c>
      <c r="I255" s="9" t="s">
        <v>497</v>
      </c>
      <c r="J255" s="16" t="s">
        <v>482</v>
      </c>
    </row>
    <row r="256" s="21" customFormat="1" ht="159.5" spans="1:10">
      <c r="A256" s="38">
        <v>26</v>
      </c>
      <c r="B256" s="16" t="s">
        <v>498</v>
      </c>
      <c r="C256" s="16" t="s">
        <v>11</v>
      </c>
      <c r="D256" s="16"/>
      <c r="E256" s="16">
        <v>93.55</v>
      </c>
      <c r="F256" s="16">
        <v>5664.49</v>
      </c>
      <c r="G256" s="16" t="str">
        <f>_xlfn.DISPIMG("ID_4307AAFAD12144069EF9E914D5D1EF47",1)</f>
        <v>=DISPIMG("ID_4307AAFAD12144069EF9E914D5D1EF47",1)</v>
      </c>
      <c r="H256" s="16" t="s">
        <v>17</v>
      </c>
      <c r="I256" s="9" t="s">
        <v>499</v>
      </c>
      <c r="J256" s="16" t="s">
        <v>485</v>
      </c>
    </row>
    <row r="257" s="21" customFormat="1" ht="140.55" spans="1:10">
      <c r="A257" s="38">
        <v>27</v>
      </c>
      <c r="B257" s="16" t="s">
        <v>500</v>
      </c>
      <c r="C257" s="16" t="s">
        <v>11</v>
      </c>
      <c r="D257" s="16"/>
      <c r="E257" s="16">
        <v>96.75</v>
      </c>
      <c r="F257" s="16">
        <v>5148.13</v>
      </c>
      <c r="G257" s="16" t="str">
        <f>_xlfn.DISPIMG("ID_C08BDEB0ABA24782A05C841953C2D83C",1)</f>
        <v>=DISPIMG("ID_C08BDEB0ABA24782A05C841953C2D83C",1)</v>
      </c>
      <c r="H257" s="16" t="s">
        <v>17</v>
      </c>
      <c r="I257" s="9" t="s">
        <v>501</v>
      </c>
      <c r="J257" s="16" t="s">
        <v>482</v>
      </c>
    </row>
    <row r="258" s="21" customFormat="1" ht="214.7" spans="1:10">
      <c r="A258" s="38">
        <v>28</v>
      </c>
      <c r="B258" s="16" t="s">
        <v>58</v>
      </c>
      <c r="C258" s="16" t="s">
        <v>11</v>
      </c>
      <c r="D258" s="16"/>
      <c r="E258" s="16">
        <v>184.1</v>
      </c>
      <c r="F258" s="16">
        <v>5066.43</v>
      </c>
      <c r="G258" s="16" t="str">
        <f>_xlfn.DISPIMG("ID_7E12CB697D27424F8C77267B13539403",1)</f>
        <v>=DISPIMG("ID_7E12CB697D27424F8C77267B13539403",1)</v>
      </c>
      <c r="H258" s="16" t="s">
        <v>17</v>
      </c>
      <c r="I258" s="9" t="s">
        <v>59</v>
      </c>
      <c r="J258" s="16" t="s">
        <v>485</v>
      </c>
    </row>
    <row r="259" s="21" customFormat="1" ht="115.5" spans="1:10">
      <c r="A259" s="38">
        <v>29</v>
      </c>
      <c r="B259" s="16" t="s">
        <v>77</v>
      </c>
      <c r="C259" s="16" t="s">
        <v>11</v>
      </c>
      <c r="D259" s="16"/>
      <c r="E259" s="16">
        <v>64.85</v>
      </c>
      <c r="F259" s="16">
        <v>4640.66</v>
      </c>
      <c r="G259" s="16" t="str">
        <f>_xlfn.DISPIMG("ID_80FF065EC3CD48BBAE0BD177E0F6A029",1)</f>
        <v>=DISPIMG("ID_80FF065EC3CD48BBAE0BD177E0F6A029",1)</v>
      </c>
      <c r="H259" s="16" t="s">
        <v>17</v>
      </c>
      <c r="I259" s="9" t="s">
        <v>78</v>
      </c>
      <c r="J259" s="16" t="s">
        <v>482</v>
      </c>
    </row>
    <row r="260" s="21" customFormat="1" ht="183.75" spans="1:10">
      <c r="A260" s="38">
        <v>30</v>
      </c>
      <c r="B260" s="16" t="s">
        <v>502</v>
      </c>
      <c r="C260" s="16" t="s">
        <v>11</v>
      </c>
      <c r="D260" s="16"/>
      <c r="E260" s="16">
        <v>224.95</v>
      </c>
      <c r="F260" s="16">
        <v>4127.88</v>
      </c>
      <c r="G260" s="16" t="str">
        <f>_xlfn.DISPIMG("ID_E082C0E22F154E22B716E5A6387CC152",1)</f>
        <v>=DISPIMG("ID_E082C0E22F154E22B716E5A6387CC152",1)</v>
      </c>
      <c r="H260" s="16" t="s">
        <v>17</v>
      </c>
      <c r="I260" s="9" t="s">
        <v>43</v>
      </c>
      <c r="J260" s="16" t="s">
        <v>482</v>
      </c>
    </row>
    <row r="261" s="21" customFormat="1" ht="285.75" spans="1:10">
      <c r="A261" s="38">
        <v>31</v>
      </c>
      <c r="B261" s="16" t="s">
        <v>503</v>
      </c>
      <c r="C261" s="16" t="s">
        <v>11</v>
      </c>
      <c r="D261" s="16"/>
      <c r="E261" s="16">
        <v>139.25</v>
      </c>
      <c r="F261" s="16">
        <v>3943.55</v>
      </c>
      <c r="G261" s="16" t="str">
        <f>_xlfn.DISPIMG("ID_755212B23D6D4C049DEF306084CCF455",1)</f>
        <v>=DISPIMG("ID_755212B23D6D4C049DEF306084CCF455",1)</v>
      </c>
      <c r="H261" s="16" t="s">
        <v>17</v>
      </c>
      <c r="I261" s="9" t="s">
        <v>504</v>
      </c>
      <c r="J261" s="16" t="s">
        <v>505</v>
      </c>
    </row>
    <row r="262" s="21" customFormat="1" ht="168.25" spans="1:10">
      <c r="A262" s="38">
        <v>32</v>
      </c>
      <c r="B262" s="16" t="s">
        <v>506</v>
      </c>
      <c r="C262" s="16" t="s">
        <v>11</v>
      </c>
      <c r="D262" s="16"/>
      <c r="E262" s="16">
        <v>421.65</v>
      </c>
      <c r="F262" s="16">
        <v>3676.87</v>
      </c>
      <c r="G262" s="16" t="str">
        <f>_xlfn.DISPIMG("ID_EAB3F337AFB2408C9B14A4EC2E802137",1)</f>
        <v>=DISPIMG("ID_EAB3F337AFB2408C9B14A4EC2E802137",1)</v>
      </c>
      <c r="H262" s="16" t="s">
        <v>17</v>
      </c>
      <c r="I262" s="9" t="s">
        <v>507</v>
      </c>
      <c r="J262" s="16" t="s">
        <v>485</v>
      </c>
    </row>
    <row r="263" s="21" customFormat="1" ht="121.5" spans="1:10">
      <c r="A263" s="38">
        <v>33</v>
      </c>
      <c r="B263" s="16" t="s">
        <v>34</v>
      </c>
      <c r="C263" s="16" t="s">
        <v>11</v>
      </c>
      <c r="D263" s="16"/>
      <c r="E263" s="16">
        <v>394.55</v>
      </c>
      <c r="F263" s="16">
        <v>3618.03</v>
      </c>
      <c r="G263" s="16" t="str">
        <f>_xlfn.DISPIMG("ID_D17A650EA16548C29BB9EF47CDE484BA",1)</f>
        <v>=DISPIMG("ID_D17A650EA16548C29BB9EF47CDE484BA",1)</v>
      </c>
      <c r="H263" s="16" t="s">
        <v>17</v>
      </c>
      <c r="I263" s="9" t="s">
        <v>35</v>
      </c>
      <c r="J263" s="16" t="s">
        <v>482</v>
      </c>
    </row>
    <row r="264" s="21" customFormat="1" ht="265.5" spans="1:10">
      <c r="A264" s="38">
        <v>34</v>
      </c>
      <c r="B264" s="16" t="s">
        <v>109</v>
      </c>
      <c r="C264" s="16" t="s">
        <v>11</v>
      </c>
      <c r="D264" s="16"/>
      <c r="E264" s="16">
        <v>88.2</v>
      </c>
      <c r="F264" s="16">
        <v>3560.64</v>
      </c>
      <c r="G264" s="16" t="str">
        <f>_xlfn.DISPIMG("ID_93530C4B19584F51B7204FDE3E8C0117",1)</f>
        <v>=DISPIMG("ID_93530C4B19584F51B7204FDE3E8C0117",1)</v>
      </c>
      <c r="H264" s="16" t="s">
        <v>17</v>
      </c>
      <c r="I264" s="9" t="s">
        <v>110</v>
      </c>
      <c r="J264" s="16" t="s">
        <v>482</v>
      </c>
    </row>
    <row r="265" s="21" customFormat="1" ht="342" spans="1:10">
      <c r="A265" s="38">
        <v>35</v>
      </c>
      <c r="B265" s="16" t="s">
        <v>67</v>
      </c>
      <c r="C265" s="16" t="s">
        <v>11</v>
      </c>
      <c r="D265" s="16"/>
      <c r="E265" s="16">
        <v>103.05</v>
      </c>
      <c r="F265" s="16">
        <v>3135.49</v>
      </c>
      <c r="G265" s="16" t="str">
        <f>_xlfn.DISPIMG("ID_9B246D49CB4A487EB1A42491F841E13C",1)</f>
        <v>=DISPIMG("ID_9B246D49CB4A487EB1A42491F841E13C",1)</v>
      </c>
      <c r="H265" s="16" t="s">
        <v>17</v>
      </c>
      <c r="I265" s="9" t="s">
        <v>508</v>
      </c>
      <c r="J265" s="16" t="s">
        <v>482</v>
      </c>
    </row>
    <row r="266" s="21" customFormat="1" ht="196.5" spans="1:10">
      <c r="A266" s="38">
        <v>36</v>
      </c>
      <c r="B266" s="16" t="s">
        <v>509</v>
      </c>
      <c r="C266" s="16" t="s">
        <v>11</v>
      </c>
      <c r="D266" s="16"/>
      <c r="E266" s="16">
        <v>72.95</v>
      </c>
      <c r="F266" s="16">
        <v>2711.55</v>
      </c>
      <c r="G266" s="16" t="str">
        <f>_xlfn.DISPIMG("ID_B2FAC89874B341B1A2AFD0E06B15C3B8",1)</f>
        <v>=DISPIMG("ID_B2FAC89874B341B1A2AFD0E06B15C3B8",1)</v>
      </c>
      <c r="H266" s="16" t="s">
        <v>17</v>
      </c>
      <c r="I266" s="9" t="s">
        <v>510</v>
      </c>
      <c r="J266" s="16" t="s">
        <v>482</v>
      </c>
    </row>
    <row r="267" s="21" customFormat="1" ht="100.5" spans="1:10">
      <c r="A267" s="38">
        <v>37</v>
      </c>
      <c r="B267" s="16" t="s">
        <v>73</v>
      </c>
      <c r="C267" s="16" t="s">
        <v>11</v>
      </c>
      <c r="D267" s="16"/>
      <c r="E267" s="16">
        <v>194.7</v>
      </c>
      <c r="F267" s="16">
        <v>2679.07</v>
      </c>
      <c r="G267" s="16" t="str">
        <f>_xlfn.DISPIMG("ID_467D1730B82D4587A72F5BDB10F8DA8D",1)</f>
        <v>=DISPIMG("ID_467D1730B82D4587A72F5BDB10F8DA8D",1)</v>
      </c>
      <c r="H267" s="16" t="s">
        <v>17</v>
      </c>
      <c r="I267" s="9" t="s">
        <v>74</v>
      </c>
      <c r="J267" s="16" t="s">
        <v>485</v>
      </c>
    </row>
    <row r="268" s="21" customFormat="1" ht="214.15" spans="1:10">
      <c r="A268" s="38">
        <v>38</v>
      </c>
      <c r="B268" s="16" t="s">
        <v>511</v>
      </c>
      <c r="C268" s="16" t="s">
        <v>11</v>
      </c>
      <c r="D268" s="16"/>
      <c r="E268" s="16">
        <v>51.9</v>
      </c>
      <c r="F268" s="16">
        <v>2380.66</v>
      </c>
      <c r="G268" s="16" t="str">
        <f>_xlfn.DISPIMG("ID_470334F28D604C138E6D304887ED990F",1)</f>
        <v>=DISPIMG("ID_470334F28D604C138E6D304887ED990F",1)</v>
      </c>
      <c r="H268" s="16" t="s">
        <v>17</v>
      </c>
      <c r="I268" s="9" t="s">
        <v>512</v>
      </c>
      <c r="J268" s="16" t="s">
        <v>513</v>
      </c>
    </row>
    <row r="269" s="21" customFormat="1" ht="174.75" spans="1:10">
      <c r="A269" s="38">
        <v>39</v>
      </c>
      <c r="B269" s="16" t="s">
        <v>514</v>
      </c>
      <c r="C269" s="16" t="s">
        <v>11</v>
      </c>
      <c r="D269" s="16"/>
      <c r="E269" s="16">
        <v>209.55</v>
      </c>
      <c r="F269" s="16">
        <v>1634.49</v>
      </c>
      <c r="G269" s="16" t="str">
        <f>_xlfn.DISPIMG("ID_6916C2EF02C645BD91E5B25665776A87",1)</f>
        <v>=DISPIMG("ID_6916C2EF02C645BD91E5B25665776A87",1)</v>
      </c>
      <c r="H269" s="16" t="s">
        <v>17</v>
      </c>
      <c r="I269" s="9" t="s">
        <v>515</v>
      </c>
      <c r="J269" s="16" t="s">
        <v>482</v>
      </c>
    </row>
    <row r="270" s="21" customFormat="1" ht="103.5" spans="1:10">
      <c r="A270" s="38">
        <v>40</v>
      </c>
      <c r="B270" s="16" t="s">
        <v>36</v>
      </c>
      <c r="C270" s="16" t="s">
        <v>11</v>
      </c>
      <c r="D270" s="16"/>
      <c r="E270" s="16">
        <v>43.95</v>
      </c>
      <c r="F270" s="16">
        <v>1532.1</v>
      </c>
      <c r="G270" s="16" t="str">
        <f>_xlfn.DISPIMG("ID_B68D865930A64DB59AEEADCE39272008",1)</f>
        <v>=DISPIMG("ID_B68D865930A64DB59AEEADCE39272008",1)</v>
      </c>
      <c r="H270" s="16" t="s">
        <v>17</v>
      </c>
      <c r="I270" s="9" t="s">
        <v>37</v>
      </c>
      <c r="J270" s="16" t="s">
        <v>485</v>
      </c>
    </row>
    <row r="271" s="21" customFormat="1" ht="291" spans="1:10">
      <c r="A271" s="38">
        <v>41</v>
      </c>
      <c r="B271" s="16" t="s">
        <v>516</v>
      </c>
      <c r="C271" s="16" t="s">
        <v>11</v>
      </c>
      <c r="D271" s="16"/>
      <c r="E271" s="16">
        <v>37.35</v>
      </c>
      <c r="F271" s="16">
        <v>1520.52</v>
      </c>
      <c r="G271" s="16" t="str">
        <f>_xlfn.DISPIMG("ID_54611BBB583F4EAEA36C6A36722075A1",1)</f>
        <v>=DISPIMG("ID_54611BBB583F4EAEA36C6A36722075A1",1)</v>
      </c>
      <c r="H271" s="16" t="s">
        <v>17</v>
      </c>
      <c r="I271" s="9" t="s">
        <v>517</v>
      </c>
      <c r="J271" s="16" t="s">
        <v>485</v>
      </c>
    </row>
    <row r="272" s="21" customFormat="1" ht="100.5" spans="1:10">
      <c r="A272" s="38">
        <v>42</v>
      </c>
      <c r="B272" s="16" t="s">
        <v>75</v>
      </c>
      <c r="C272" s="16" t="s">
        <v>11</v>
      </c>
      <c r="D272" s="16"/>
      <c r="E272" s="16">
        <v>21.6</v>
      </c>
      <c r="F272" s="16">
        <v>1387.15</v>
      </c>
      <c r="G272" s="16" t="str">
        <f>_xlfn.DISPIMG("ID_781D6F8DF038479D8F01ABB1BA3DE5C0",1)</f>
        <v>=DISPIMG("ID_781D6F8DF038479D8F01ABB1BA3DE5C0",1)</v>
      </c>
      <c r="H272" s="16" t="s">
        <v>17</v>
      </c>
      <c r="I272" s="9" t="s">
        <v>76</v>
      </c>
      <c r="J272" s="16" t="s">
        <v>482</v>
      </c>
    </row>
    <row r="273" s="21" customFormat="1" ht="168.8" spans="1:10">
      <c r="A273" s="38">
        <v>43</v>
      </c>
      <c r="B273" s="16" t="s">
        <v>27</v>
      </c>
      <c r="C273" s="16" t="s">
        <v>22</v>
      </c>
      <c r="D273" s="16"/>
      <c r="E273" s="16">
        <v>942</v>
      </c>
      <c r="F273" s="16">
        <v>1384.74</v>
      </c>
      <c r="G273" s="16" t="str">
        <f>_xlfn.DISPIMG("ID_F4BFF54F944A4BDF846BD5E10750AFB2",1)</f>
        <v>=DISPIMG("ID_F4BFF54F944A4BDF846BD5E10750AFB2",1)</v>
      </c>
      <c r="H273" s="16" t="s">
        <v>17</v>
      </c>
      <c r="I273" s="9" t="s">
        <v>28</v>
      </c>
      <c r="J273" s="16" t="s">
        <v>482</v>
      </c>
    </row>
    <row r="274" s="21" customFormat="1" ht="160.85" spans="1:10">
      <c r="A274" s="38">
        <v>44</v>
      </c>
      <c r="B274" s="16" t="s">
        <v>518</v>
      </c>
      <c r="C274" s="16" t="s">
        <v>11</v>
      </c>
      <c r="D274" s="16"/>
      <c r="E274" s="16">
        <v>48.5</v>
      </c>
      <c r="F274" s="16">
        <v>1290.59</v>
      </c>
      <c r="G274" s="16" t="str">
        <f>_xlfn.DISPIMG("ID_7EF5159BB8FF41AD82E3278BF096FBF5",1)</f>
        <v>=DISPIMG("ID_7EF5159BB8FF41AD82E3278BF096FBF5",1)</v>
      </c>
      <c r="H274" s="16" t="s">
        <v>17</v>
      </c>
      <c r="I274" s="9" t="s">
        <v>114</v>
      </c>
      <c r="J274" s="16" t="s">
        <v>482</v>
      </c>
    </row>
    <row r="275" s="21" customFormat="1" ht="105.5" spans="1:10">
      <c r="A275" s="38">
        <v>45</v>
      </c>
      <c r="B275" s="16" t="s">
        <v>519</v>
      </c>
      <c r="C275" s="16" t="s">
        <v>160</v>
      </c>
      <c r="D275" s="16" t="s">
        <v>520</v>
      </c>
      <c r="E275" s="16">
        <v>651</v>
      </c>
      <c r="F275" s="16">
        <v>1191.33</v>
      </c>
      <c r="G275" s="16" t="str">
        <f>_xlfn.DISPIMG("ID_5C5C795AB8904014B3E2D95EAAAA2516",1)</f>
        <v>=DISPIMG("ID_5C5C795AB8904014B3E2D95EAAAA2516",1)</v>
      </c>
      <c r="H275" s="16" t="s">
        <v>17</v>
      </c>
      <c r="I275" s="9" t="s">
        <v>521</v>
      </c>
      <c r="J275" s="16" t="s">
        <v>485</v>
      </c>
    </row>
    <row r="276" s="21" customFormat="1" ht="201" spans="1:10">
      <c r="A276" s="38">
        <v>46</v>
      </c>
      <c r="B276" s="16" t="s">
        <v>522</v>
      </c>
      <c r="C276" s="16" t="s">
        <v>11</v>
      </c>
      <c r="D276" s="16"/>
      <c r="E276" s="16">
        <v>87.7</v>
      </c>
      <c r="F276" s="16">
        <v>1125.9</v>
      </c>
      <c r="G276" s="16" t="str">
        <f>_xlfn.DISPIMG("ID_6F66B5465350424EA443AD72D52D46F5",1)</f>
        <v>=DISPIMG("ID_6F66B5465350424EA443AD72D52D46F5",1)</v>
      </c>
      <c r="H276" s="16" t="s">
        <v>17</v>
      </c>
      <c r="I276" s="9" t="s">
        <v>523</v>
      </c>
      <c r="J276" s="16" t="s">
        <v>482</v>
      </c>
    </row>
    <row r="277" s="21" customFormat="1" ht="165.4" spans="1:10">
      <c r="A277" s="38">
        <v>47</v>
      </c>
      <c r="B277" s="16" t="s">
        <v>105</v>
      </c>
      <c r="C277" s="16" t="s">
        <v>11</v>
      </c>
      <c r="D277" s="16"/>
      <c r="E277" s="16">
        <v>40</v>
      </c>
      <c r="F277" s="16">
        <v>1100.8</v>
      </c>
      <c r="G277" s="16" t="str">
        <f>_xlfn.DISPIMG("ID_A70FE44AEC484147B3A1A69907B08455",1)</f>
        <v>=DISPIMG("ID_A70FE44AEC484147B3A1A69907B08455",1)</v>
      </c>
      <c r="H277" s="16" t="s">
        <v>17</v>
      </c>
      <c r="I277" s="9" t="s">
        <v>106</v>
      </c>
      <c r="J277" s="16" t="s">
        <v>482</v>
      </c>
    </row>
    <row r="278" s="21" customFormat="1" ht="171" spans="1:10">
      <c r="A278" s="38">
        <v>49</v>
      </c>
      <c r="B278" s="16" t="s">
        <v>44</v>
      </c>
      <c r="C278" s="16" t="s">
        <v>11</v>
      </c>
      <c r="D278" s="16"/>
      <c r="E278" s="16">
        <v>173</v>
      </c>
      <c r="F278" s="16">
        <v>2043.44</v>
      </c>
      <c r="G278" s="41" t="str">
        <f>_xlfn.DISPIMG("ID_9149F9A64BCA46B48C877B77962034C0",1)</f>
        <v>=DISPIMG("ID_9149F9A64BCA46B48C877B77962034C0",1)</v>
      </c>
      <c r="H278" s="16" t="s">
        <v>17</v>
      </c>
      <c r="I278" s="9" t="s">
        <v>524</v>
      </c>
      <c r="J278" s="16" t="s">
        <v>525</v>
      </c>
    </row>
    <row r="279" s="21" customFormat="1" ht="172.45" spans="1:10">
      <c r="A279" s="38">
        <v>50</v>
      </c>
      <c r="B279" s="16" t="s">
        <v>111</v>
      </c>
      <c r="C279" s="16" t="s">
        <v>11</v>
      </c>
      <c r="D279" s="16"/>
      <c r="E279" s="16">
        <v>60.3</v>
      </c>
      <c r="F279" s="16">
        <v>829.71</v>
      </c>
      <c r="G279" s="16" t="str">
        <f>_xlfn.DISPIMG("ID_A31340DB7A534BA8AC10B197C8DA0437",1)</f>
        <v>=DISPIMG("ID_A31340DB7A534BA8AC10B197C8DA0437",1)</v>
      </c>
      <c r="H279" s="16" t="s">
        <v>17</v>
      </c>
      <c r="I279" s="9" t="s">
        <v>112</v>
      </c>
      <c r="J279" s="16" t="s">
        <v>485</v>
      </c>
    </row>
    <row r="280" s="21" customFormat="1" ht="243.65" spans="1:10">
      <c r="A280" s="38">
        <v>51</v>
      </c>
      <c r="B280" s="16" t="s">
        <v>526</v>
      </c>
      <c r="C280" s="16" t="s">
        <v>11</v>
      </c>
      <c r="D280" s="16"/>
      <c r="E280" s="16">
        <v>21</v>
      </c>
      <c r="F280" s="16">
        <v>693.63</v>
      </c>
      <c r="G280" s="16" t="str">
        <f>_xlfn.DISPIMG("ID_17C7B384076E4DE29CEB24402F962F0B",1)</f>
        <v>=DISPIMG("ID_17C7B384076E4DE29CEB24402F962F0B",1)</v>
      </c>
      <c r="H280" s="16" t="s">
        <v>17</v>
      </c>
      <c r="I280" s="9" t="s">
        <v>527</v>
      </c>
      <c r="J280" s="16" t="s">
        <v>482</v>
      </c>
    </row>
    <row r="281" s="21" customFormat="1" ht="221.4" spans="1:10">
      <c r="A281" s="38">
        <v>52</v>
      </c>
      <c r="B281" s="16" t="s">
        <v>528</v>
      </c>
      <c r="C281" s="16" t="s">
        <v>11</v>
      </c>
      <c r="D281" s="16"/>
      <c r="E281" s="16">
        <v>2</v>
      </c>
      <c r="F281" s="16">
        <v>605.5</v>
      </c>
      <c r="G281" s="16" t="str">
        <f>_xlfn.DISPIMG("ID_FB62CA9A79E141568BE8416F56D33399",1)</f>
        <v>=DISPIMG("ID_FB62CA9A79E141568BE8416F56D33399",1)</v>
      </c>
      <c r="H281" s="16" t="s">
        <v>17</v>
      </c>
      <c r="I281" s="9" t="s">
        <v>529</v>
      </c>
      <c r="J281" s="16" t="s">
        <v>485</v>
      </c>
    </row>
    <row r="282" s="21" customFormat="1" ht="116.25" spans="1:10">
      <c r="A282" s="38">
        <v>53</v>
      </c>
      <c r="B282" s="16" t="s">
        <v>530</v>
      </c>
      <c r="C282" s="16" t="s">
        <v>11</v>
      </c>
      <c r="D282" s="16"/>
      <c r="E282" s="16">
        <v>9.5</v>
      </c>
      <c r="F282" s="16">
        <v>453.25</v>
      </c>
      <c r="G282" s="16" t="str">
        <f>_xlfn.DISPIMG("ID_B891CB511E5341C48D10EA51A8088805",1)</f>
        <v>=DISPIMG("ID_B891CB511E5341C48D10EA51A8088805",1)</v>
      </c>
      <c r="H282" s="16" t="s">
        <v>17</v>
      </c>
      <c r="I282" s="9" t="s">
        <v>531</v>
      </c>
      <c r="J282" s="16" t="s">
        <v>485</v>
      </c>
    </row>
    <row r="283" s="21" customFormat="1" ht="114" spans="1:10">
      <c r="A283" s="38">
        <v>54</v>
      </c>
      <c r="B283" s="16" t="s">
        <v>54</v>
      </c>
      <c r="C283" s="16" t="s">
        <v>11</v>
      </c>
      <c r="D283" s="16"/>
      <c r="E283" s="16">
        <v>67.3</v>
      </c>
      <c r="F283" s="16">
        <v>432.07</v>
      </c>
      <c r="G283" s="16" t="str">
        <f>_xlfn.DISPIMG("ID_E2FE6AEA416D465AAD43EF2091B16CC1",1)</f>
        <v>=DISPIMG("ID_E2FE6AEA416D465AAD43EF2091B16CC1",1)</v>
      </c>
      <c r="H283" s="16" t="s">
        <v>17</v>
      </c>
      <c r="I283" s="9" t="s">
        <v>55</v>
      </c>
      <c r="J283" s="16" t="s">
        <v>482</v>
      </c>
    </row>
    <row r="284" s="21" customFormat="1" ht="176.3" spans="1:10">
      <c r="A284" s="38">
        <v>55</v>
      </c>
      <c r="B284" s="16" t="s">
        <v>532</v>
      </c>
      <c r="C284" s="16" t="s">
        <v>11</v>
      </c>
      <c r="D284" s="16"/>
      <c r="E284" s="16">
        <v>19.9</v>
      </c>
      <c r="F284" s="16">
        <v>398</v>
      </c>
      <c r="G284" s="16" t="str">
        <f>_xlfn.DISPIMG("ID_CC58823F5B5E4C5889BBF5D469467F37",1)</f>
        <v>=DISPIMG("ID_CC58823F5B5E4C5889BBF5D469467F37",1)</v>
      </c>
      <c r="H284" s="16" t="s">
        <v>17</v>
      </c>
      <c r="I284" s="9" t="s">
        <v>533</v>
      </c>
      <c r="J284" s="16" t="s">
        <v>482</v>
      </c>
    </row>
    <row r="285" s="21" customFormat="1" ht="215.25" spans="1:10">
      <c r="A285" s="38">
        <v>56</v>
      </c>
      <c r="B285" s="16" t="s">
        <v>118</v>
      </c>
      <c r="C285" s="16" t="s">
        <v>116</v>
      </c>
      <c r="D285" s="16" t="s">
        <v>534</v>
      </c>
      <c r="E285" s="16">
        <v>45</v>
      </c>
      <c r="F285" s="16">
        <v>360</v>
      </c>
      <c r="G285" s="16" t="str">
        <f>_xlfn.DISPIMG("ID_E9749B8EC3C849B69AA300A50E272A67",1)</f>
        <v>=DISPIMG("ID_E9749B8EC3C849B69AA300A50E272A67",1)</v>
      </c>
      <c r="H285" s="16" t="s">
        <v>17</v>
      </c>
      <c r="I285" s="9" t="s">
        <v>119</v>
      </c>
      <c r="J285" s="16" t="s">
        <v>482</v>
      </c>
    </row>
    <row r="286" s="21" customFormat="1" ht="123" spans="1:10">
      <c r="A286" s="38">
        <v>57</v>
      </c>
      <c r="B286" s="16" t="s">
        <v>535</v>
      </c>
      <c r="C286" s="16" t="s">
        <v>11</v>
      </c>
      <c r="D286" s="16"/>
      <c r="E286" s="16">
        <v>30</v>
      </c>
      <c r="F286" s="16">
        <v>330.3</v>
      </c>
      <c r="G286" s="16" t="str">
        <f>_xlfn.DISPIMG("ID_B739F4BF3E554D8E87AAC4E0F98F8DAE",1)</f>
        <v>=DISPIMG("ID_B739F4BF3E554D8E87AAC4E0F98F8DAE",1)</v>
      </c>
      <c r="H286" s="16" t="s">
        <v>17</v>
      </c>
      <c r="I286" s="9" t="s">
        <v>536</v>
      </c>
      <c r="J286" s="16" t="s">
        <v>482</v>
      </c>
    </row>
    <row r="287" s="21" customFormat="1" ht="170.25" spans="1:10">
      <c r="A287" s="38">
        <v>58</v>
      </c>
      <c r="B287" s="16" t="s">
        <v>90</v>
      </c>
      <c r="C287" s="16" t="s">
        <v>11</v>
      </c>
      <c r="D287" s="16"/>
      <c r="E287" s="16">
        <v>36.5</v>
      </c>
      <c r="F287" s="16">
        <v>318.27</v>
      </c>
      <c r="G287" s="16" t="str">
        <f>_xlfn.DISPIMG("ID_F4FA688843E24516A2E96DAE3976456A",1)</f>
        <v>=DISPIMG("ID_F4FA688843E24516A2E96DAE3976456A",1)</v>
      </c>
      <c r="H287" s="16" t="s">
        <v>17</v>
      </c>
      <c r="I287" s="9" t="s">
        <v>91</v>
      </c>
      <c r="J287" s="16" t="s">
        <v>482</v>
      </c>
    </row>
    <row r="288" s="21" customFormat="1" ht="199.5" spans="1:10">
      <c r="A288" s="38">
        <v>59</v>
      </c>
      <c r="B288" s="16" t="s">
        <v>537</v>
      </c>
      <c r="C288" s="16" t="s">
        <v>11</v>
      </c>
      <c r="D288" s="16"/>
      <c r="E288" s="16">
        <v>25</v>
      </c>
      <c r="F288" s="16">
        <v>252.25</v>
      </c>
      <c r="G288" s="16" t="str">
        <f>_xlfn.DISPIMG("ID_D40A0D71072C4225BC850990C0EC4F64",1)</f>
        <v>=DISPIMG("ID_D40A0D71072C4225BC850990C0EC4F64",1)</v>
      </c>
      <c r="H288" s="16" t="s">
        <v>17</v>
      </c>
      <c r="I288" s="9" t="s">
        <v>538</v>
      </c>
      <c r="J288" s="16" t="s">
        <v>482</v>
      </c>
    </row>
    <row r="289" s="21" customFormat="1" ht="191.2" spans="1:10">
      <c r="A289" s="38">
        <v>60</v>
      </c>
      <c r="B289" s="16" t="s">
        <v>32</v>
      </c>
      <c r="C289" s="16" t="s">
        <v>11</v>
      </c>
      <c r="D289" s="16"/>
      <c r="E289" s="16">
        <v>24.55</v>
      </c>
      <c r="F289" s="16">
        <v>238.88</v>
      </c>
      <c r="G289" s="16" t="str">
        <f>_xlfn.DISPIMG("ID_1356F63AC0654326AB43CF8B2F08C035",1)</f>
        <v>=DISPIMG("ID_1356F63AC0654326AB43CF8B2F08C035",1)</v>
      </c>
      <c r="H289" s="16" t="s">
        <v>17</v>
      </c>
      <c r="I289" s="9" t="s">
        <v>33</v>
      </c>
      <c r="J289" s="16" t="s">
        <v>482</v>
      </c>
    </row>
    <row r="290" s="21" customFormat="1" ht="162" spans="1:10">
      <c r="A290" s="38">
        <v>61</v>
      </c>
      <c r="B290" s="16" t="s">
        <v>539</v>
      </c>
      <c r="C290" s="16" t="s">
        <v>11</v>
      </c>
      <c r="D290" s="16"/>
      <c r="E290" s="16">
        <v>16</v>
      </c>
      <c r="F290" s="16">
        <v>220.16</v>
      </c>
      <c r="G290" s="16" t="str">
        <f>_xlfn.DISPIMG("ID_5E9986F251564374A7BF907F12D43582",1)</f>
        <v>=DISPIMG("ID_5E9986F251564374A7BF907F12D43582",1)</v>
      </c>
      <c r="H290" s="16" t="s">
        <v>17</v>
      </c>
      <c r="I290" s="9" t="s">
        <v>540</v>
      </c>
      <c r="J290" s="16" t="s">
        <v>482</v>
      </c>
    </row>
    <row r="291" s="21" customFormat="1" ht="153" spans="1:10">
      <c r="A291" s="38">
        <v>62</v>
      </c>
      <c r="B291" s="16" t="s">
        <v>81</v>
      </c>
      <c r="C291" s="16" t="s">
        <v>82</v>
      </c>
      <c r="D291" s="16"/>
      <c r="E291" s="16">
        <v>168</v>
      </c>
      <c r="F291" s="16">
        <v>154.56</v>
      </c>
      <c r="G291" s="16" t="str">
        <f>_xlfn.DISPIMG("ID_0C0C560592244E1CA66D1887B7DDCE1F",1)</f>
        <v>=DISPIMG("ID_0C0C560592244E1CA66D1887B7DDCE1F",1)</v>
      </c>
      <c r="H291" s="16" t="s">
        <v>17</v>
      </c>
      <c r="I291" s="9" t="s">
        <v>83</v>
      </c>
      <c r="J291" s="16" t="s">
        <v>482</v>
      </c>
    </row>
    <row r="292" s="21" customFormat="1" ht="132.75" spans="1:10">
      <c r="A292" s="38">
        <v>63</v>
      </c>
      <c r="B292" s="16" t="s">
        <v>29</v>
      </c>
      <c r="C292" s="16" t="s">
        <v>160</v>
      </c>
      <c r="D292" s="16" t="s">
        <v>541</v>
      </c>
      <c r="E292" s="16">
        <v>10</v>
      </c>
      <c r="F292" s="16">
        <v>119.3</v>
      </c>
      <c r="G292" s="16" t="str">
        <f>_xlfn.DISPIMG("ID_ADC35531D4D84C62B830698B8574F6FC",1)</f>
        <v>=DISPIMG("ID_ADC35531D4D84C62B830698B8574F6FC",1)</v>
      </c>
      <c r="H292" s="16" t="s">
        <v>17</v>
      </c>
      <c r="I292" s="9" t="s">
        <v>31</v>
      </c>
      <c r="J292" s="16" t="s">
        <v>482</v>
      </c>
    </row>
    <row r="293" s="21" customFormat="1" ht="199.5" spans="1:10">
      <c r="A293" s="38">
        <v>64</v>
      </c>
      <c r="B293" s="16" t="s">
        <v>542</v>
      </c>
      <c r="C293" s="16" t="s">
        <v>11</v>
      </c>
      <c r="D293" s="16"/>
      <c r="E293" s="16">
        <v>10</v>
      </c>
      <c r="F293" s="16">
        <v>73.4</v>
      </c>
      <c r="G293" s="16" t="str">
        <f>_xlfn.DISPIMG("ID_1ECC95AA916A4887925A5A3F3216A1C0",1)</f>
        <v>=DISPIMG("ID_1ECC95AA916A4887925A5A3F3216A1C0",1)</v>
      </c>
      <c r="H293" s="16" t="s">
        <v>17</v>
      </c>
      <c r="I293" s="9" t="s">
        <v>543</v>
      </c>
      <c r="J293" s="16" t="s">
        <v>482</v>
      </c>
    </row>
    <row r="294" s="21" customFormat="1" ht="192.75" spans="1:10">
      <c r="A294" s="38">
        <v>65</v>
      </c>
      <c r="B294" s="16" t="s">
        <v>544</v>
      </c>
      <c r="C294" s="16" t="s">
        <v>11</v>
      </c>
      <c r="D294" s="16"/>
      <c r="E294" s="16">
        <v>2</v>
      </c>
      <c r="F294" s="16">
        <v>70.8</v>
      </c>
      <c r="G294" s="16" t="str">
        <f>_xlfn.DISPIMG("ID_543DEC4C83134C3BAE5E79F5EBFD9218",1)</f>
        <v>=DISPIMG("ID_543DEC4C83134C3BAE5E79F5EBFD9218",1)</v>
      </c>
      <c r="H294" s="16" t="s">
        <v>17</v>
      </c>
      <c r="I294" s="9" t="s">
        <v>545</v>
      </c>
      <c r="J294" s="16" t="s">
        <v>482</v>
      </c>
    </row>
    <row r="295" s="21" customFormat="1" ht="255" spans="1:10">
      <c r="A295" s="38">
        <v>66</v>
      </c>
      <c r="B295" s="16" t="s">
        <v>546</v>
      </c>
      <c r="C295" s="16" t="s">
        <v>11</v>
      </c>
      <c r="D295" s="16"/>
      <c r="E295" s="16">
        <v>1</v>
      </c>
      <c r="F295" s="16">
        <v>70</v>
      </c>
      <c r="G295" s="16" t="str">
        <f>_xlfn.DISPIMG("ID_7353DC78295646CE9A91583999138D9A",1)</f>
        <v>=DISPIMG("ID_7353DC78295646CE9A91583999138D9A",1)</v>
      </c>
      <c r="H295" s="16" t="s">
        <v>17</v>
      </c>
      <c r="I295" s="42" t="s">
        <v>547</v>
      </c>
      <c r="J295" s="16" t="s">
        <v>548</v>
      </c>
    </row>
    <row r="296" s="21" customFormat="1" ht="108" spans="1:10">
      <c r="A296" s="38">
        <v>67</v>
      </c>
      <c r="B296" s="16" t="s">
        <v>84</v>
      </c>
      <c r="C296" s="16" t="s">
        <v>11</v>
      </c>
      <c r="D296" s="16"/>
      <c r="E296" s="16">
        <v>3.5</v>
      </c>
      <c r="F296" s="16">
        <v>64.23</v>
      </c>
      <c r="G296" s="16" t="str">
        <f>_xlfn.DISPIMG("ID_82A34DC5BE5A41C28F221BFD640E3C75",1)</f>
        <v>=DISPIMG("ID_82A34DC5BE5A41C28F221BFD640E3C75",1)</v>
      </c>
      <c r="H296" s="16" t="s">
        <v>17</v>
      </c>
      <c r="I296" s="9" t="s">
        <v>85</v>
      </c>
      <c r="J296" s="16" t="s">
        <v>482</v>
      </c>
    </row>
    <row r="297" s="21" customFormat="1" ht="172.3" spans="1:10">
      <c r="A297" s="38">
        <v>68</v>
      </c>
      <c r="B297" s="16" t="s">
        <v>60</v>
      </c>
      <c r="C297" s="16" t="s">
        <v>11</v>
      </c>
      <c r="D297" s="16"/>
      <c r="E297" s="16">
        <v>0.45</v>
      </c>
      <c r="F297" s="16">
        <v>53.67</v>
      </c>
      <c r="G297" s="16" t="str">
        <f>_xlfn.DISPIMG("ID_66DA159C713D4DB985694E3506A3E7C3",1)</f>
        <v>=DISPIMG("ID_66DA159C713D4DB985694E3506A3E7C3",1)</v>
      </c>
      <c r="H297" s="16" t="s">
        <v>17</v>
      </c>
      <c r="I297" s="9" t="s">
        <v>61</v>
      </c>
      <c r="J297" s="16" t="s">
        <v>482</v>
      </c>
    </row>
    <row r="298" s="21" customFormat="1" ht="152.95" spans="1:10">
      <c r="A298" s="38">
        <v>69</v>
      </c>
      <c r="B298" s="16" t="s">
        <v>549</v>
      </c>
      <c r="C298" s="16" t="s">
        <v>11</v>
      </c>
      <c r="D298" s="16"/>
      <c r="E298" s="16">
        <v>1</v>
      </c>
      <c r="F298" s="16">
        <v>50</v>
      </c>
      <c r="G298" s="16" t="str">
        <f>_xlfn.DISPIMG("ID_16FDC12C9D034DBB9E2C5EE40091433A",1)</f>
        <v>=DISPIMG("ID_16FDC12C9D034DBB9E2C5EE40091433A",1)</v>
      </c>
      <c r="H298" s="16" t="s">
        <v>17</v>
      </c>
      <c r="I298" s="42" t="s">
        <v>550</v>
      </c>
      <c r="J298" s="16" t="s">
        <v>482</v>
      </c>
    </row>
    <row r="299" s="21" customFormat="1" ht="196.6" spans="1:10">
      <c r="A299" s="38">
        <v>70</v>
      </c>
      <c r="B299" s="16" t="s">
        <v>124</v>
      </c>
      <c r="C299" s="16" t="s">
        <v>11</v>
      </c>
      <c r="D299" s="16"/>
      <c r="E299" s="16">
        <v>0.5</v>
      </c>
      <c r="F299" s="16">
        <v>48.68</v>
      </c>
      <c r="G299" s="16" t="str">
        <f>_xlfn.DISPIMG("ID_274190113B9C4778B31786EC8A816016",1)</f>
        <v>=DISPIMG("ID_274190113B9C4778B31786EC8A816016",1)</v>
      </c>
      <c r="H299" s="16" t="s">
        <v>17</v>
      </c>
      <c r="I299" s="9" t="s">
        <v>125</v>
      </c>
      <c r="J299" s="16" t="s">
        <v>482</v>
      </c>
    </row>
    <row r="300" s="21" customFormat="1" ht="215" spans="1:10">
      <c r="A300" s="38">
        <v>71</v>
      </c>
      <c r="B300" s="16" t="s">
        <v>94</v>
      </c>
      <c r="C300" s="16" t="s">
        <v>11</v>
      </c>
      <c r="D300" s="16"/>
      <c r="E300" s="16">
        <v>4</v>
      </c>
      <c r="F300" s="16">
        <v>34.88</v>
      </c>
      <c r="G300" s="16" t="str">
        <f>_xlfn.DISPIMG("ID_CD867B453F5E487390DF1D5CA610F878",1)</f>
        <v>=DISPIMG("ID_CD867B453F5E487390DF1D5CA610F878",1)</v>
      </c>
      <c r="H300" s="16" t="s">
        <v>17</v>
      </c>
      <c r="I300" s="9" t="s">
        <v>93</v>
      </c>
      <c r="J300" s="16" t="s">
        <v>482</v>
      </c>
    </row>
    <row r="301" s="21" customFormat="1" ht="150.6" spans="1:10">
      <c r="A301" s="38">
        <v>72</v>
      </c>
      <c r="B301" s="16" t="s">
        <v>551</v>
      </c>
      <c r="C301" s="16" t="s">
        <v>11</v>
      </c>
      <c r="D301" s="16"/>
      <c r="E301" s="16">
        <v>1</v>
      </c>
      <c r="F301" s="16">
        <v>24</v>
      </c>
      <c r="G301" s="16" t="str">
        <f>_xlfn.DISPIMG("ID_02F00617E5F644BEB5D6A2C2BFA00CB5",1)</f>
        <v>=DISPIMG("ID_02F00617E5F644BEB5D6A2C2BFA00CB5",1)</v>
      </c>
      <c r="H301" s="16" t="s">
        <v>17</v>
      </c>
      <c r="I301" s="42" t="s">
        <v>552</v>
      </c>
      <c r="J301" s="16" t="s">
        <v>482</v>
      </c>
    </row>
    <row r="302" s="21" customFormat="1" ht="100.5" spans="1:10">
      <c r="A302" s="38">
        <v>73</v>
      </c>
      <c r="B302" s="16" t="s">
        <v>553</v>
      </c>
      <c r="C302" s="16" t="s">
        <v>11</v>
      </c>
      <c r="D302" s="16"/>
      <c r="E302" s="16">
        <v>1</v>
      </c>
      <c r="F302" s="16">
        <v>20</v>
      </c>
      <c r="G302" s="16" t="str">
        <f>_xlfn.DISPIMG("ID_E1F44448C378442EBB0F0DDE71205F66",1)</f>
        <v>=DISPIMG("ID_E1F44448C378442EBB0F0DDE71205F66",1)</v>
      </c>
      <c r="H302" s="16" t="s">
        <v>17</v>
      </c>
      <c r="I302" s="42" t="s">
        <v>554</v>
      </c>
      <c r="J302" s="16" t="s">
        <v>482</v>
      </c>
    </row>
    <row r="303" s="21" customFormat="1" ht="207.4" spans="1:10">
      <c r="A303" s="38">
        <v>74</v>
      </c>
      <c r="B303" s="16" t="s">
        <v>555</v>
      </c>
      <c r="C303" s="16" t="s">
        <v>116</v>
      </c>
      <c r="D303" s="16" t="s">
        <v>534</v>
      </c>
      <c r="E303" s="16">
        <v>1</v>
      </c>
      <c r="F303" s="16">
        <v>16</v>
      </c>
      <c r="G303" s="16" t="str">
        <f>_xlfn.DISPIMG("ID_4F661DFF89F14CE99D0F199E902B8A94",1)</f>
        <v>=DISPIMG("ID_4F661DFF89F14CE99D0F199E902B8A94",1)</v>
      </c>
      <c r="H303" s="16" t="s">
        <v>17</v>
      </c>
      <c r="I303" s="42" t="s">
        <v>556</v>
      </c>
      <c r="J303" s="16" t="s">
        <v>482</v>
      </c>
    </row>
    <row r="304" s="21" customFormat="1" ht="101.25" spans="1:10">
      <c r="A304" s="38">
        <v>75</v>
      </c>
      <c r="B304" s="16" t="s">
        <v>557</v>
      </c>
      <c r="C304" s="16" t="s">
        <v>11</v>
      </c>
      <c r="D304" s="16"/>
      <c r="E304" s="16">
        <v>1</v>
      </c>
      <c r="F304" s="16">
        <v>14</v>
      </c>
      <c r="G304" s="16" t="str">
        <f>_xlfn.DISPIMG("ID_D0648B7E782947BDAD8BF9DFE5F8621A",1)</f>
        <v>=DISPIMG("ID_D0648B7E782947BDAD8BF9DFE5F8621A",1)</v>
      </c>
      <c r="H304" s="16" t="s">
        <v>17</v>
      </c>
      <c r="I304" s="42" t="s">
        <v>558</v>
      </c>
      <c r="J304" s="16" t="s">
        <v>482</v>
      </c>
    </row>
    <row r="305" s="21" customFormat="1" ht="218.1" spans="1:10">
      <c r="A305" s="38">
        <v>76</v>
      </c>
      <c r="B305" s="16" t="s">
        <v>559</v>
      </c>
      <c r="C305" s="16" t="s">
        <v>11</v>
      </c>
      <c r="D305" s="16"/>
      <c r="E305" s="16">
        <v>1</v>
      </c>
      <c r="F305" s="16">
        <v>12</v>
      </c>
      <c r="G305" s="16" t="str">
        <f>_xlfn.DISPIMG("ID_26875A9D1CAA4BED8D80D577D15644EA",1)</f>
        <v>=DISPIMG("ID_26875A9D1CAA4BED8D80D577D15644EA",1)</v>
      </c>
      <c r="H305" s="16" t="s">
        <v>17</v>
      </c>
      <c r="I305" s="42" t="s">
        <v>560</v>
      </c>
      <c r="J305" s="16" t="s">
        <v>482</v>
      </c>
    </row>
    <row r="306" s="21" customFormat="1" ht="241" spans="1:10">
      <c r="A306" s="38">
        <v>77</v>
      </c>
      <c r="B306" s="16" t="s">
        <v>561</v>
      </c>
      <c r="C306" s="16" t="s">
        <v>11</v>
      </c>
      <c r="D306" s="16"/>
      <c r="E306" s="16">
        <v>1</v>
      </c>
      <c r="F306" s="16">
        <v>12</v>
      </c>
      <c r="G306" s="16" t="str">
        <f>_xlfn.DISPIMG("ID_CB81D43575A24AD0B2FF1A28CF4DBEAE",1)</f>
        <v>=DISPIMG("ID_CB81D43575A24AD0B2FF1A28CF4DBEAE",1)</v>
      </c>
      <c r="H306" s="16" t="s">
        <v>17</v>
      </c>
      <c r="I306" s="42" t="s">
        <v>562</v>
      </c>
      <c r="J306" s="16" t="s">
        <v>482</v>
      </c>
    </row>
    <row r="307" s="21" customFormat="1" ht="162.85" spans="1:10">
      <c r="A307" s="38">
        <v>78</v>
      </c>
      <c r="B307" s="16" t="s">
        <v>251</v>
      </c>
      <c r="C307" s="16" t="s">
        <v>11</v>
      </c>
      <c r="D307" s="16"/>
      <c r="E307" s="16">
        <v>5946.4</v>
      </c>
      <c r="F307" s="16">
        <v>94067.4599999998</v>
      </c>
      <c r="G307" s="16" t="str">
        <f>_xlfn.DISPIMG("ID_3E9CF64A12824AE0A61AA69884664DBC",1)</f>
        <v>=DISPIMG("ID_3E9CF64A12824AE0A61AA69884664DBC",1)</v>
      </c>
      <c r="H307" s="16" t="s">
        <v>130</v>
      </c>
      <c r="I307" s="9" t="s">
        <v>252</v>
      </c>
      <c r="J307" s="16" t="s">
        <v>482</v>
      </c>
    </row>
    <row r="308" s="21" customFormat="1" ht="198.65" spans="1:10">
      <c r="A308" s="38">
        <v>79</v>
      </c>
      <c r="B308" s="16" t="s">
        <v>305</v>
      </c>
      <c r="C308" s="16" t="s">
        <v>11</v>
      </c>
      <c r="D308" s="16"/>
      <c r="E308" s="16">
        <v>16932.2</v>
      </c>
      <c r="F308" s="16">
        <v>76136.23</v>
      </c>
      <c r="G308" s="16" t="str">
        <f>_xlfn.DISPIMG("ID_D0AC111B6EBF45AF9D05DAC71B6AD8BB",1)</f>
        <v>=DISPIMG("ID_D0AC111B6EBF45AF9D05DAC71B6AD8BB",1)</v>
      </c>
      <c r="H308" s="16" t="s">
        <v>130</v>
      </c>
      <c r="I308" s="9" t="s">
        <v>284</v>
      </c>
      <c r="J308" s="16" t="s">
        <v>563</v>
      </c>
    </row>
    <row r="309" s="21" customFormat="1" ht="191.75" spans="1:10">
      <c r="A309" s="38">
        <v>80</v>
      </c>
      <c r="B309" s="16" t="s">
        <v>375</v>
      </c>
      <c r="C309" s="16" t="s">
        <v>11</v>
      </c>
      <c r="D309" s="16"/>
      <c r="E309" s="16">
        <v>7324.2</v>
      </c>
      <c r="F309" s="16">
        <v>71259.66</v>
      </c>
      <c r="G309" s="16" t="str">
        <f>_xlfn.DISPIMG("ID_F8E1993DF8B8401EB419CD34D2EF0FDE",1)</f>
        <v>=DISPIMG("ID_F8E1993DF8B8401EB419CD34D2EF0FDE",1)</v>
      </c>
      <c r="H309" s="16" t="s">
        <v>130</v>
      </c>
      <c r="I309" s="9" t="s">
        <v>181</v>
      </c>
      <c r="J309" s="16" t="s">
        <v>482</v>
      </c>
    </row>
    <row r="310" s="21" customFormat="1" ht="182.9" spans="1:10">
      <c r="A310" s="38">
        <v>81</v>
      </c>
      <c r="B310" s="16" t="s">
        <v>283</v>
      </c>
      <c r="C310" s="16" t="s">
        <v>11</v>
      </c>
      <c r="D310" s="16"/>
      <c r="E310" s="16">
        <v>15698.95</v>
      </c>
      <c r="F310" s="16">
        <v>67076.09</v>
      </c>
      <c r="G310" s="16" t="str">
        <f>_xlfn.DISPIMG("ID_E14772373F384E3D828D85D353EB7D13",1)</f>
        <v>=DISPIMG("ID_E14772373F384E3D828D85D353EB7D13",1)</v>
      </c>
      <c r="H310" s="16" t="s">
        <v>130</v>
      </c>
      <c r="I310" s="9" t="s">
        <v>284</v>
      </c>
      <c r="J310" s="16" t="s">
        <v>482</v>
      </c>
    </row>
    <row r="311" s="21" customFormat="1" ht="124.5" spans="1:10">
      <c r="A311" s="38">
        <v>82</v>
      </c>
      <c r="B311" s="16" t="s">
        <v>182</v>
      </c>
      <c r="C311" s="16" t="s">
        <v>11</v>
      </c>
      <c r="D311" s="16"/>
      <c r="E311" s="16">
        <v>11744.7</v>
      </c>
      <c r="F311" s="16">
        <v>65792.38</v>
      </c>
      <c r="G311" s="16" t="str">
        <f>_xlfn.DISPIMG("ID_B57D21B969184DE69C5DE75CF3231DF6",1)</f>
        <v>=DISPIMG("ID_B57D21B969184DE69C5DE75CF3231DF6",1)</v>
      </c>
      <c r="H311" s="16" t="s">
        <v>130</v>
      </c>
      <c r="I311" s="9" t="s">
        <v>183</v>
      </c>
      <c r="J311" s="16" t="s">
        <v>564</v>
      </c>
    </row>
    <row r="312" s="21" customFormat="1" ht="137.6" spans="1:10">
      <c r="A312" s="38">
        <v>83</v>
      </c>
      <c r="B312" s="16" t="s">
        <v>151</v>
      </c>
      <c r="C312" s="16" t="s">
        <v>11</v>
      </c>
      <c r="D312" s="16"/>
      <c r="E312" s="16">
        <v>15244.25</v>
      </c>
      <c r="F312" s="16">
        <v>61434.38</v>
      </c>
      <c r="G312" s="16" t="str">
        <f>_xlfn.DISPIMG("ID_43851B27CB2B47AAA13A63DFD9FBC62E",1)</f>
        <v>=DISPIMG("ID_43851B27CB2B47AAA13A63DFD9FBC62E",1)</v>
      </c>
      <c r="H312" s="16" t="s">
        <v>130</v>
      </c>
      <c r="I312" s="9" t="s">
        <v>152</v>
      </c>
      <c r="J312" s="16" t="s">
        <v>482</v>
      </c>
    </row>
    <row r="313" s="21" customFormat="1" ht="195.6" spans="1:10">
      <c r="A313" s="38">
        <v>84</v>
      </c>
      <c r="B313" s="16" t="s">
        <v>328</v>
      </c>
      <c r="C313" s="16" t="s">
        <v>11</v>
      </c>
      <c r="D313" s="16"/>
      <c r="E313" s="16">
        <v>8997.65</v>
      </c>
      <c r="F313" s="16">
        <v>59726.23</v>
      </c>
      <c r="G313" s="16" t="str">
        <f>_xlfn.DISPIMG("ID_BCB5B74005524E4A993AA3CE6059E9B6",1)</f>
        <v>=DISPIMG("ID_BCB5B74005524E4A993AA3CE6059E9B6",1)</v>
      </c>
      <c r="H313" s="16" t="s">
        <v>130</v>
      </c>
      <c r="I313" s="9" t="s">
        <v>329</v>
      </c>
      <c r="J313" s="16" t="s">
        <v>482</v>
      </c>
    </row>
    <row r="314" s="21" customFormat="1" ht="161.4" spans="1:10">
      <c r="A314" s="38">
        <v>85</v>
      </c>
      <c r="B314" s="16" t="s">
        <v>304</v>
      </c>
      <c r="C314" s="16" t="s">
        <v>11</v>
      </c>
      <c r="D314" s="16"/>
      <c r="E314" s="16">
        <v>6676.5</v>
      </c>
      <c r="F314" s="16">
        <v>55860.08</v>
      </c>
      <c r="G314" s="16" t="str">
        <f>_xlfn.DISPIMG("ID_EDE749BB964A4A7382116D33324C3E0E",1)</f>
        <v>=DISPIMG("ID_EDE749BB964A4A7382116D33324C3E0E",1)</v>
      </c>
      <c r="H314" s="16" t="s">
        <v>130</v>
      </c>
      <c r="I314" s="9" t="s">
        <v>177</v>
      </c>
      <c r="J314" s="16" t="s">
        <v>482</v>
      </c>
    </row>
    <row r="315" s="21" customFormat="1" ht="170.5" spans="1:10">
      <c r="A315" s="38">
        <v>86</v>
      </c>
      <c r="B315" s="16" t="s">
        <v>363</v>
      </c>
      <c r="C315" s="16" t="s">
        <v>11</v>
      </c>
      <c r="D315" s="16"/>
      <c r="E315" s="16">
        <v>6191.97</v>
      </c>
      <c r="F315" s="16">
        <v>54054.91</v>
      </c>
      <c r="G315" s="16" t="str">
        <f>_xlfn.DISPIMG("ID_AB491807D0F04F118C463AB90122BC2C",1)</f>
        <v>=DISPIMG("ID_AB491807D0F04F118C463AB90122BC2C",1)</v>
      </c>
      <c r="H315" s="16" t="s">
        <v>130</v>
      </c>
      <c r="I315" s="9" t="s">
        <v>272</v>
      </c>
      <c r="J315" s="16" t="s">
        <v>482</v>
      </c>
    </row>
    <row r="316" s="21" customFormat="1" ht="123.6" spans="1:10">
      <c r="A316" s="38">
        <v>87</v>
      </c>
      <c r="B316" s="16" t="s">
        <v>347</v>
      </c>
      <c r="C316" s="16" t="s">
        <v>11</v>
      </c>
      <c r="D316" s="16"/>
      <c r="E316" s="16">
        <v>4888.6</v>
      </c>
      <c r="F316" s="16">
        <v>52552.51</v>
      </c>
      <c r="G316" s="16" t="str">
        <f>_xlfn.DISPIMG("ID_20B9B710FC4D4DF78613BD3E8A4ADA61",1)</f>
        <v>=DISPIMG("ID_20B9B710FC4D4DF78613BD3E8A4ADA61",1)</v>
      </c>
      <c r="H316" s="16" t="s">
        <v>130</v>
      </c>
      <c r="I316" s="9" t="s">
        <v>348</v>
      </c>
      <c r="J316" s="16" t="s">
        <v>482</v>
      </c>
    </row>
    <row r="317" s="21" customFormat="1" ht="138.75" spans="1:10">
      <c r="A317" s="38">
        <v>88</v>
      </c>
      <c r="B317" s="16" t="s">
        <v>174</v>
      </c>
      <c r="C317" s="16" t="s">
        <v>11</v>
      </c>
      <c r="D317" s="16"/>
      <c r="E317" s="16">
        <v>18380.6</v>
      </c>
      <c r="F317" s="16">
        <v>50553.57</v>
      </c>
      <c r="G317" s="16" t="str">
        <f>_xlfn.DISPIMG("ID_B98BD3CF298E4E6DB2FD517C5B7D5B9E",1)</f>
        <v>=DISPIMG("ID_B98BD3CF298E4E6DB2FD517C5B7D5B9E",1)</v>
      </c>
      <c r="H317" s="16" t="s">
        <v>130</v>
      </c>
      <c r="I317" s="9" t="s">
        <v>175</v>
      </c>
      <c r="J317" s="16" t="s">
        <v>482</v>
      </c>
    </row>
    <row r="318" s="21" customFormat="1" ht="137.15" spans="1:10">
      <c r="A318" s="38">
        <v>89</v>
      </c>
      <c r="B318" s="16" t="s">
        <v>265</v>
      </c>
      <c r="C318" s="16" t="s">
        <v>11</v>
      </c>
      <c r="D318" s="16"/>
      <c r="E318" s="16">
        <v>13792.15</v>
      </c>
      <c r="F318" s="16">
        <v>47720.99</v>
      </c>
      <c r="G318" s="16" t="str">
        <f>_xlfn.DISPIMG("ID_8F63F789C8484912816507E39AD932E4",1)</f>
        <v>=DISPIMG("ID_8F63F789C8484912816507E39AD932E4",1)</v>
      </c>
      <c r="H318" s="16" t="s">
        <v>130</v>
      </c>
      <c r="I318" s="9" t="s">
        <v>266</v>
      </c>
      <c r="J318" s="16" t="s">
        <v>482</v>
      </c>
    </row>
    <row r="319" s="21" customFormat="1" ht="81.2" spans="1:10">
      <c r="A319" s="38">
        <v>90</v>
      </c>
      <c r="B319" s="16" t="s">
        <v>322</v>
      </c>
      <c r="C319" s="16" t="s">
        <v>11</v>
      </c>
      <c r="D319" s="16"/>
      <c r="E319" s="16">
        <v>15172.45</v>
      </c>
      <c r="F319" s="16">
        <v>46882.9</v>
      </c>
      <c r="G319" s="16" t="str">
        <f>_xlfn.DISPIMG("ID_B2D5114193AC4A708759C9317591A08B",1)</f>
        <v>=DISPIMG("ID_B2D5114193AC4A708759C9317591A08B",1)</v>
      </c>
      <c r="H319" s="16" t="s">
        <v>130</v>
      </c>
      <c r="I319" s="9" t="s">
        <v>213</v>
      </c>
      <c r="J319" s="16" t="s">
        <v>565</v>
      </c>
    </row>
    <row r="320" s="21" customFormat="1" ht="97.5" spans="1:10">
      <c r="A320" s="38">
        <v>91</v>
      </c>
      <c r="B320" s="16" t="s">
        <v>226</v>
      </c>
      <c r="C320" s="16" t="s">
        <v>11</v>
      </c>
      <c r="D320" s="16"/>
      <c r="E320" s="16">
        <v>6431.25</v>
      </c>
      <c r="F320" s="16">
        <v>45482.25</v>
      </c>
      <c r="G320" s="16" t="str">
        <f>_xlfn.DISPIMG("ID_D3BD7E9BD78E41DBA0A3D44FC9804E4C",1)</f>
        <v>=DISPIMG("ID_D3BD7E9BD78E41DBA0A3D44FC9804E4C",1)</v>
      </c>
      <c r="H320" s="16" t="s">
        <v>130</v>
      </c>
      <c r="I320" s="9" t="s">
        <v>227</v>
      </c>
      <c r="J320" s="16" t="s">
        <v>482</v>
      </c>
    </row>
    <row r="321" s="21" customFormat="1" ht="210.8" spans="1:10">
      <c r="A321" s="38">
        <v>92</v>
      </c>
      <c r="B321" s="16" t="s">
        <v>294</v>
      </c>
      <c r="C321" s="16" t="s">
        <v>11</v>
      </c>
      <c r="D321" s="16"/>
      <c r="E321" s="16">
        <v>1891.85</v>
      </c>
      <c r="F321" s="16">
        <v>35415.4</v>
      </c>
      <c r="G321" s="16" t="str">
        <f>_xlfn.DISPIMG("ID_F5E05BA3035A43EAB31A6D8757539DA8",1)</f>
        <v>=DISPIMG("ID_F5E05BA3035A43EAB31A6D8757539DA8",1)</v>
      </c>
      <c r="H321" s="16" t="s">
        <v>130</v>
      </c>
      <c r="I321" s="9" t="s">
        <v>295</v>
      </c>
      <c r="J321" s="16" t="s">
        <v>482</v>
      </c>
    </row>
    <row r="322" s="21" customFormat="1" ht="91.5" spans="1:10">
      <c r="A322" s="38">
        <v>93</v>
      </c>
      <c r="B322" s="16" t="s">
        <v>196</v>
      </c>
      <c r="C322" s="16" t="s">
        <v>11</v>
      </c>
      <c r="D322" s="16"/>
      <c r="E322" s="16">
        <v>3793.35</v>
      </c>
      <c r="F322" s="16">
        <v>34263.23</v>
      </c>
      <c r="G322" s="16" t="str">
        <f>_xlfn.DISPIMG("ID_09CA45E6687E498D947BF31284E5191C",1)</f>
        <v>=DISPIMG("ID_09CA45E6687E498D947BF31284E5191C",1)</v>
      </c>
      <c r="H322" s="16" t="s">
        <v>130</v>
      </c>
      <c r="I322" s="9" t="s">
        <v>197</v>
      </c>
      <c r="J322" s="16" t="s">
        <v>482</v>
      </c>
    </row>
    <row r="323" s="21" customFormat="1" ht="217.9" spans="1:10">
      <c r="A323" s="38">
        <v>94</v>
      </c>
      <c r="B323" s="16" t="s">
        <v>326</v>
      </c>
      <c r="C323" s="16" t="s">
        <v>11</v>
      </c>
      <c r="D323" s="16"/>
      <c r="E323" s="16">
        <v>7200.1</v>
      </c>
      <c r="F323" s="16">
        <v>31824.48</v>
      </c>
      <c r="G323" s="16" t="str">
        <f>_xlfn.DISPIMG("ID_C0FF2C68C7D74A5E96BB7D68958A90F4",1)</f>
        <v>=DISPIMG("ID_C0FF2C68C7D74A5E96BB7D68958A90F4",1)</v>
      </c>
      <c r="H323" s="16" t="s">
        <v>130</v>
      </c>
      <c r="I323" s="9" t="s">
        <v>327</v>
      </c>
      <c r="J323" s="16" t="s">
        <v>482</v>
      </c>
    </row>
    <row r="324" s="21" customFormat="1" ht="164.5" spans="1:10">
      <c r="A324" s="38">
        <v>95</v>
      </c>
      <c r="B324" s="16" t="s">
        <v>263</v>
      </c>
      <c r="C324" s="16" t="s">
        <v>11</v>
      </c>
      <c r="D324" s="16"/>
      <c r="E324" s="16">
        <v>1178.3</v>
      </c>
      <c r="F324" s="16">
        <v>29410.29</v>
      </c>
      <c r="G324" s="16" t="str">
        <f>_xlfn.DISPIMG("ID_8C474B06F7C24032BCF8451EF4CC7E08",1)</f>
        <v>=DISPIMG("ID_8C474B06F7C24032BCF8451EF4CC7E08",1)</v>
      </c>
      <c r="H324" s="16" t="s">
        <v>130</v>
      </c>
      <c r="I324" s="9" t="s">
        <v>264</v>
      </c>
      <c r="J324" s="16" t="s">
        <v>482</v>
      </c>
    </row>
    <row r="325" s="21" customFormat="1" ht="128.35" spans="1:10">
      <c r="A325" s="38">
        <v>96</v>
      </c>
      <c r="B325" s="16" t="s">
        <v>566</v>
      </c>
      <c r="C325" s="16" t="s">
        <v>11</v>
      </c>
      <c r="D325" s="16"/>
      <c r="E325" s="16">
        <v>2360.45</v>
      </c>
      <c r="F325" s="16">
        <v>27290.69</v>
      </c>
      <c r="G325" s="16" t="str">
        <f>_xlfn.DISPIMG("ID_32D8C06B29D644DEA432F90840B13F18",1)</f>
        <v>=DISPIMG("ID_32D8C06B29D644DEA432F90840B13F18",1)</v>
      </c>
      <c r="H325" s="16" t="s">
        <v>130</v>
      </c>
      <c r="I325" s="9" t="s">
        <v>567</v>
      </c>
      <c r="J325" s="16" t="s">
        <v>482</v>
      </c>
    </row>
    <row r="326" s="21" customFormat="1" ht="170.95" spans="1:10">
      <c r="A326" s="38">
        <v>97</v>
      </c>
      <c r="B326" s="16" t="s">
        <v>323</v>
      </c>
      <c r="C326" s="16" t="s">
        <v>11</v>
      </c>
      <c r="D326" s="16"/>
      <c r="E326" s="16">
        <v>6293.1</v>
      </c>
      <c r="F326" s="16">
        <v>27121.3</v>
      </c>
      <c r="G326" s="16" t="str">
        <f>_xlfn.DISPIMG("ID_7F966A53F79D4865A06B1006405F5447",1)</f>
        <v>=DISPIMG("ID_7F966A53F79D4865A06B1006405F5447",1)</v>
      </c>
      <c r="H326" s="16" t="s">
        <v>130</v>
      </c>
      <c r="I326" s="9" t="s">
        <v>324</v>
      </c>
      <c r="J326" s="16" t="s">
        <v>482</v>
      </c>
    </row>
    <row r="327" s="21" customFormat="1" ht="108" spans="1:10">
      <c r="A327" s="38">
        <v>98</v>
      </c>
      <c r="B327" s="16" t="s">
        <v>232</v>
      </c>
      <c r="C327" s="16" t="s">
        <v>11</v>
      </c>
      <c r="D327" s="16"/>
      <c r="E327" s="16">
        <v>3901.6</v>
      </c>
      <c r="F327" s="16">
        <v>26229.79</v>
      </c>
      <c r="G327" s="16" t="str">
        <f>_xlfn.DISPIMG("ID_CE6DFDD65E474083B6690BF992A6A22F",1)</f>
        <v>=DISPIMG("ID_CE6DFDD65E474083B6690BF992A6A22F",1)</v>
      </c>
      <c r="H327" s="16" t="s">
        <v>130</v>
      </c>
      <c r="I327" s="9" t="s">
        <v>233</v>
      </c>
      <c r="J327" s="16" t="s">
        <v>568</v>
      </c>
    </row>
    <row r="328" s="21" customFormat="1" ht="211.95" spans="1:10">
      <c r="A328" s="38">
        <v>99</v>
      </c>
      <c r="B328" s="16" t="s">
        <v>569</v>
      </c>
      <c r="C328" s="16" t="s">
        <v>11</v>
      </c>
      <c r="D328" s="16"/>
      <c r="E328" s="16">
        <v>4107.8</v>
      </c>
      <c r="F328" s="16">
        <v>26002.33</v>
      </c>
      <c r="G328" s="16" t="str">
        <f>_xlfn.DISPIMG("ID_5FAEB73BB8004A4D97CFD198E40B2139",1)</f>
        <v>=DISPIMG("ID_5FAEB73BB8004A4D97CFD198E40B2139",1)</v>
      </c>
      <c r="H328" s="16" t="s">
        <v>130</v>
      </c>
      <c r="I328" s="9" t="s">
        <v>570</v>
      </c>
      <c r="J328" s="16" t="s">
        <v>482</v>
      </c>
    </row>
    <row r="329" s="21" customFormat="1" ht="119.25" spans="1:10">
      <c r="A329" s="38">
        <v>100</v>
      </c>
      <c r="B329" s="16" t="s">
        <v>184</v>
      </c>
      <c r="C329" s="16" t="s">
        <v>11</v>
      </c>
      <c r="D329" s="16"/>
      <c r="E329" s="16">
        <v>9052.5</v>
      </c>
      <c r="F329" s="16">
        <v>25910.58</v>
      </c>
      <c r="G329" s="16" t="str">
        <f>_xlfn.DISPIMG("ID_15F15F5F9A354FE3A49D5EB7D43F7504",1)</f>
        <v>=DISPIMG("ID_15F15F5F9A354FE3A49D5EB7D43F7504",1)</v>
      </c>
      <c r="H329" s="16" t="s">
        <v>130</v>
      </c>
      <c r="I329" s="9" t="s">
        <v>185</v>
      </c>
      <c r="J329" s="16" t="s">
        <v>482</v>
      </c>
    </row>
    <row r="330" s="21" customFormat="1" ht="182" spans="1:10">
      <c r="A330" s="38">
        <v>101</v>
      </c>
      <c r="B330" s="16" t="s">
        <v>277</v>
      </c>
      <c r="C330" s="16" t="s">
        <v>11</v>
      </c>
      <c r="D330" s="16"/>
      <c r="E330" s="16">
        <v>2962.1</v>
      </c>
      <c r="F330" s="16">
        <v>24911.35</v>
      </c>
      <c r="G330" s="16" t="str">
        <f>_xlfn.DISPIMG("ID_46C6227F282D4CAD866F0C7B556A1D64",1)</f>
        <v>=DISPIMG("ID_46C6227F282D4CAD866F0C7B556A1D64",1)</v>
      </c>
      <c r="H330" s="16" t="s">
        <v>130</v>
      </c>
      <c r="I330" s="9" t="s">
        <v>278</v>
      </c>
      <c r="J330" s="16" t="s">
        <v>482</v>
      </c>
    </row>
    <row r="331" s="21" customFormat="1" ht="152.15" spans="1:10">
      <c r="A331" s="38">
        <v>102</v>
      </c>
      <c r="B331" s="16" t="s">
        <v>316</v>
      </c>
      <c r="C331" s="16" t="s">
        <v>11</v>
      </c>
      <c r="D331" s="16"/>
      <c r="E331" s="16">
        <v>2707.7</v>
      </c>
      <c r="F331" s="16">
        <v>23736.21</v>
      </c>
      <c r="G331" s="16" t="str">
        <f>_xlfn.DISPIMG("ID_1C2DA3FC6BE3441ABB651038E7F1B4CF",1)</f>
        <v>=DISPIMG("ID_1C2DA3FC6BE3441ABB651038E7F1B4CF",1)</v>
      </c>
      <c r="H331" s="16" t="s">
        <v>130</v>
      </c>
      <c r="I331" s="9" t="s">
        <v>317</v>
      </c>
      <c r="J331" s="16" t="s">
        <v>482</v>
      </c>
    </row>
    <row r="332" s="21" customFormat="1" ht="177.95" spans="1:10">
      <c r="A332" s="38">
        <v>103</v>
      </c>
      <c r="B332" s="16" t="s">
        <v>200</v>
      </c>
      <c r="C332" s="16" t="s">
        <v>11</v>
      </c>
      <c r="D332" s="16"/>
      <c r="E332" s="16">
        <v>1936.1</v>
      </c>
      <c r="F332" s="16">
        <v>23233.2</v>
      </c>
      <c r="G332" s="16" t="str">
        <f>_xlfn.DISPIMG("ID_B57FB0FCA259406C9AD90DA8B0E73B0F",1)</f>
        <v>=DISPIMG("ID_B57FB0FCA259406C9AD90DA8B0E73B0F",1)</v>
      </c>
      <c r="H332" s="16" t="s">
        <v>130</v>
      </c>
      <c r="I332" s="9" t="s">
        <v>201</v>
      </c>
      <c r="J332" s="16" t="s">
        <v>482</v>
      </c>
    </row>
    <row r="333" s="21" customFormat="1" ht="208.6" spans="1:10">
      <c r="A333" s="38">
        <v>104</v>
      </c>
      <c r="B333" s="16" t="s">
        <v>372</v>
      </c>
      <c r="C333" s="16" t="s">
        <v>11</v>
      </c>
      <c r="D333" s="16"/>
      <c r="E333" s="16">
        <v>2576.8</v>
      </c>
      <c r="F333" s="16">
        <v>23057.64</v>
      </c>
      <c r="G333" s="16" t="str">
        <f>_xlfn.DISPIMG("ID_C7BFFFD692EF44F6AEC4D85BA81B389D",1)</f>
        <v>=DISPIMG("ID_C7BFFFD692EF44F6AEC4D85BA81B389D",1)</v>
      </c>
      <c r="H333" s="16" t="s">
        <v>130</v>
      </c>
      <c r="I333" s="9" t="s">
        <v>373</v>
      </c>
      <c r="J333" s="16" t="s">
        <v>571</v>
      </c>
    </row>
    <row r="334" s="21" customFormat="1" ht="170.25" spans="1:10">
      <c r="A334" s="38">
        <v>105</v>
      </c>
      <c r="B334" s="16" t="s">
        <v>572</v>
      </c>
      <c r="C334" s="16" t="s">
        <v>11</v>
      </c>
      <c r="D334" s="16"/>
      <c r="E334" s="16">
        <v>834.5</v>
      </c>
      <c r="F334" s="16">
        <v>22965.5</v>
      </c>
      <c r="G334" s="16" t="str">
        <f>_xlfn.DISPIMG("ID_33013ACD0D4C4657B912F9704B8C013C",1)</f>
        <v>=DISPIMG("ID_33013ACD0D4C4657B912F9704B8C013C",1)</v>
      </c>
      <c r="H334" s="16" t="s">
        <v>130</v>
      </c>
      <c r="I334" s="9" t="s">
        <v>573</v>
      </c>
      <c r="J334" s="16" t="s">
        <v>482</v>
      </c>
    </row>
    <row r="335" s="21" customFormat="1" ht="152" spans="1:10">
      <c r="A335" s="38">
        <v>106</v>
      </c>
      <c r="B335" s="16" t="s">
        <v>273</v>
      </c>
      <c r="C335" s="16" t="s">
        <v>11</v>
      </c>
      <c r="D335" s="16"/>
      <c r="E335" s="16">
        <v>10527.25</v>
      </c>
      <c r="F335" s="16">
        <v>22738.41</v>
      </c>
      <c r="G335" s="16" t="str">
        <f>_xlfn.DISPIMG("ID_958AE8DB3D5249AEB11519B71FC5563B",1)</f>
        <v>=DISPIMG("ID_958AE8DB3D5249AEB11519B71FC5563B",1)</v>
      </c>
      <c r="H335" s="16" t="s">
        <v>130</v>
      </c>
      <c r="I335" s="9" t="s">
        <v>274</v>
      </c>
      <c r="J335" s="16" t="s">
        <v>482</v>
      </c>
    </row>
    <row r="336" s="21" customFormat="1" ht="96" spans="1:10">
      <c r="A336" s="38">
        <v>107</v>
      </c>
      <c r="B336" s="16" t="s">
        <v>222</v>
      </c>
      <c r="C336" s="16" t="s">
        <v>11</v>
      </c>
      <c r="D336" s="16"/>
      <c r="E336" s="16">
        <v>5110.95</v>
      </c>
      <c r="F336" s="16">
        <v>19955.98</v>
      </c>
      <c r="G336" s="16" t="str">
        <f>_xlfn.DISPIMG("ID_BB5931A1949D4E0B82BC6081966106DE",1)</f>
        <v>=DISPIMG("ID_BB5931A1949D4E0B82BC6081966106DE",1)</v>
      </c>
      <c r="H336" s="16" t="s">
        <v>130</v>
      </c>
      <c r="I336" s="9" t="s">
        <v>223</v>
      </c>
      <c r="J336" s="16" t="s">
        <v>574</v>
      </c>
    </row>
    <row r="337" s="21" customFormat="1" ht="148.2" spans="1:10">
      <c r="A337" s="38">
        <v>108</v>
      </c>
      <c r="B337" s="16" t="s">
        <v>369</v>
      </c>
      <c r="C337" s="16" t="s">
        <v>11</v>
      </c>
      <c r="D337" s="16"/>
      <c r="E337" s="16">
        <v>4475.45</v>
      </c>
      <c r="F337" s="16">
        <v>19781.54</v>
      </c>
      <c r="G337" s="16" t="str">
        <f>_xlfn.DISPIMG("ID_B29EAB138600415AB9735B8892DEE9DF",1)</f>
        <v>=DISPIMG("ID_B29EAB138600415AB9735B8892DEE9DF",1)</v>
      </c>
      <c r="H337" s="16" t="s">
        <v>130</v>
      </c>
      <c r="I337" s="9" t="s">
        <v>370</v>
      </c>
      <c r="J337" s="16" t="s">
        <v>482</v>
      </c>
    </row>
    <row r="338" s="21" customFormat="1" ht="203.25" spans="1:10">
      <c r="A338" s="38">
        <v>109</v>
      </c>
      <c r="B338" s="16" t="s">
        <v>575</v>
      </c>
      <c r="C338" s="16" t="s">
        <v>11</v>
      </c>
      <c r="D338" s="16"/>
      <c r="E338" s="16">
        <v>1691.15</v>
      </c>
      <c r="F338" s="16">
        <v>19314.84</v>
      </c>
      <c r="G338" s="16" t="str">
        <f>_xlfn.DISPIMG("ID_084D1487BA6549ADB8E4872D90E8CF2C",1)</f>
        <v>=DISPIMG("ID_084D1487BA6549ADB8E4872D90E8CF2C",1)</v>
      </c>
      <c r="H338" s="16" t="s">
        <v>130</v>
      </c>
      <c r="I338" s="9" t="s">
        <v>576</v>
      </c>
      <c r="J338" s="16" t="s">
        <v>482</v>
      </c>
    </row>
    <row r="339" s="21" customFormat="1" ht="159" spans="1:10">
      <c r="A339" s="38">
        <v>110</v>
      </c>
      <c r="B339" s="16" t="s">
        <v>275</v>
      </c>
      <c r="C339" s="16" t="s">
        <v>11</v>
      </c>
      <c r="D339" s="16"/>
      <c r="E339" s="16">
        <v>5644.65</v>
      </c>
      <c r="F339" s="16">
        <v>17329.08</v>
      </c>
      <c r="G339" s="16" t="str">
        <f>_xlfn.DISPIMG("ID_320EF952855146A187C696D8C23FE049",1)</f>
        <v>=DISPIMG("ID_320EF952855146A187C696D8C23FE049",1)</v>
      </c>
      <c r="H339" s="16" t="s">
        <v>130</v>
      </c>
      <c r="I339" s="9" t="s">
        <v>276</v>
      </c>
      <c r="J339" s="16" t="s">
        <v>482</v>
      </c>
    </row>
    <row r="340" s="21" customFormat="1" ht="248.25" spans="1:10">
      <c r="A340" s="38">
        <v>111</v>
      </c>
      <c r="B340" s="16" t="s">
        <v>162</v>
      </c>
      <c r="C340" s="16" t="s">
        <v>11</v>
      </c>
      <c r="D340" s="16"/>
      <c r="E340" s="16">
        <v>1384.3</v>
      </c>
      <c r="F340" s="16">
        <v>16765.47</v>
      </c>
      <c r="G340" s="16" t="str">
        <f>_xlfn.DISPIMG("ID_965776719E954E69924B3E34A1AC8E5F",1)</f>
        <v>=DISPIMG("ID_965776719E954E69924B3E34A1AC8E5F",1)</v>
      </c>
      <c r="H340" s="16" t="s">
        <v>130</v>
      </c>
      <c r="I340" s="9" t="s">
        <v>163</v>
      </c>
      <c r="J340" s="16" t="s">
        <v>482</v>
      </c>
    </row>
    <row r="341" s="21" customFormat="1" ht="152.65" spans="1:10">
      <c r="A341" s="38">
        <v>112</v>
      </c>
      <c r="B341" s="16" t="s">
        <v>306</v>
      </c>
      <c r="C341" s="16" t="s">
        <v>11</v>
      </c>
      <c r="D341" s="16"/>
      <c r="E341" s="16">
        <v>2295.6</v>
      </c>
      <c r="F341" s="16">
        <v>15908.5</v>
      </c>
      <c r="G341" s="16" t="str">
        <f>_xlfn.DISPIMG("ID_04CDB469FFD945A9B8693A21894C83E5",1)</f>
        <v>=DISPIMG("ID_04CDB469FFD945A9B8693A21894C83E5",1)</v>
      </c>
      <c r="H341" s="16" t="s">
        <v>130</v>
      </c>
      <c r="I341" s="9" t="s">
        <v>307</v>
      </c>
      <c r="J341" s="16" t="s">
        <v>482</v>
      </c>
    </row>
    <row r="342" s="21" customFormat="1" ht="187.5" spans="1:10">
      <c r="A342" s="38">
        <v>113</v>
      </c>
      <c r="B342" s="16" t="s">
        <v>257</v>
      </c>
      <c r="C342" s="16" t="s">
        <v>11</v>
      </c>
      <c r="D342" s="16"/>
      <c r="E342" s="16">
        <v>2007.65</v>
      </c>
      <c r="F342" s="16">
        <v>15880.5</v>
      </c>
      <c r="G342" s="16" t="str">
        <f>_xlfn.DISPIMG("ID_28B4A078A2E64FA296CD99315B571243",1)</f>
        <v>=DISPIMG("ID_28B4A078A2E64FA296CD99315B571243",1)</v>
      </c>
      <c r="H342" s="16" t="s">
        <v>130</v>
      </c>
      <c r="I342" s="9" t="s">
        <v>258</v>
      </c>
      <c r="J342" s="16" t="s">
        <v>482</v>
      </c>
    </row>
    <row r="343" s="21" customFormat="1" ht="129" spans="1:10">
      <c r="A343" s="38">
        <v>114</v>
      </c>
      <c r="B343" s="16" t="s">
        <v>172</v>
      </c>
      <c r="C343" s="16" t="s">
        <v>11</v>
      </c>
      <c r="D343" s="16"/>
      <c r="E343" s="16">
        <v>915.95</v>
      </c>
      <c r="F343" s="16">
        <v>15825.14</v>
      </c>
      <c r="G343" s="16" t="str">
        <f>_xlfn.DISPIMG("ID_3ABB36ED023446A58AF1512650E89EFB",1)</f>
        <v>=DISPIMG("ID_3ABB36ED023446A58AF1512650E89EFB",1)</v>
      </c>
      <c r="H343" s="16" t="s">
        <v>130</v>
      </c>
      <c r="I343" s="9" t="s">
        <v>173</v>
      </c>
      <c r="J343" s="16" t="s">
        <v>482</v>
      </c>
    </row>
    <row r="344" s="21" customFormat="1" ht="82.1" spans="1:10">
      <c r="A344" s="38">
        <v>115</v>
      </c>
      <c r="B344" s="16" t="s">
        <v>178</v>
      </c>
      <c r="C344" s="16" t="s">
        <v>11</v>
      </c>
      <c r="D344" s="16"/>
      <c r="E344" s="16">
        <v>1585.78</v>
      </c>
      <c r="F344" s="16">
        <v>15683.31</v>
      </c>
      <c r="G344" s="16" t="str">
        <f>_xlfn.DISPIMG("ID_6F7F8F4647E64D9FB61E31ED97843C47",1)</f>
        <v>=DISPIMG("ID_6F7F8F4647E64D9FB61E31ED97843C47",1)</v>
      </c>
      <c r="H344" s="16" t="s">
        <v>130</v>
      </c>
      <c r="I344" s="9" t="s">
        <v>179</v>
      </c>
      <c r="J344" s="16" t="s">
        <v>482</v>
      </c>
    </row>
    <row r="345" s="21" customFormat="1" ht="132.7" spans="1:10">
      <c r="A345" s="38">
        <v>116</v>
      </c>
      <c r="B345" s="16" t="s">
        <v>318</v>
      </c>
      <c r="C345" s="16" t="s">
        <v>11</v>
      </c>
      <c r="D345" s="16"/>
      <c r="E345" s="16">
        <v>961.2</v>
      </c>
      <c r="F345" s="16">
        <v>15504.14</v>
      </c>
      <c r="G345" s="16" t="str">
        <f>_xlfn.DISPIMG("ID_45E23E38CC204F70B250939F779F7329",1)</f>
        <v>=DISPIMG("ID_45E23E38CC204F70B250939F779F7329",1)</v>
      </c>
      <c r="H345" s="16" t="s">
        <v>130</v>
      </c>
      <c r="I345" s="9" t="s">
        <v>319</v>
      </c>
      <c r="J345" s="16" t="s">
        <v>482</v>
      </c>
    </row>
    <row r="346" s="21" customFormat="1" ht="211.2" spans="1:10">
      <c r="A346" s="38">
        <v>117</v>
      </c>
      <c r="B346" s="16" t="s">
        <v>261</v>
      </c>
      <c r="C346" s="16" t="s">
        <v>11</v>
      </c>
      <c r="D346" s="16"/>
      <c r="E346" s="16">
        <v>646.4</v>
      </c>
      <c r="F346" s="16">
        <v>15339.12</v>
      </c>
      <c r="G346" s="16" t="str">
        <f>_xlfn.DISPIMG("ID_280B40F8CE6849718E9819A4C7789D43",1)</f>
        <v>=DISPIMG("ID_280B40F8CE6849718E9819A4C7789D43",1)</v>
      </c>
      <c r="H346" s="16" t="s">
        <v>130</v>
      </c>
      <c r="I346" s="9" t="s">
        <v>262</v>
      </c>
      <c r="J346" s="16" t="s">
        <v>482</v>
      </c>
    </row>
    <row r="347" s="21" customFormat="1" ht="202.4" spans="1:10">
      <c r="A347" s="38">
        <v>118</v>
      </c>
      <c r="B347" s="16" t="s">
        <v>311</v>
      </c>
      <c r="C347" s="16" t="s">
        <v>11</v>
      </c>
      <c r="D347" s="16"/>
      <c r="E347" s="16">
        <v>1148.9</v>
      </c>
      <c r="F347" s="16">
        <v>14338.39</v>
      </c>
      <c r="G347" s="16" t="str">
        <f>_xlfn.DISPIMG("ID_99A111D47ED443C385A981FAD72B7C23",1)</f>
        <v>=DISPIMG("ID_99A111D47ED443C385A981FAD72B7C23",1)</v>
      </c>
      <c r="H347" s="16" t="s">
        <v>130</v>
      </c>
      <c r="I347" s="9" t="s">
        <v>312</v>
      </c>
      <c r="J347" s="16" t="s">
        <v>482</v>
      </c>
    </row>
    <row r="348" s="21" customFormat="1" ht="285.75" spans="1:10">
      <c r="A348" s="38">
        <v>119</v>
      </c>
      <c r="B348" s="16" t="s">
        <v>374</v>
      </c>
      <c r="C348" s="16" t="s">
        <v>11</v>
      </c>
      <c r="D348" s="16"/>
      <c r="E348" s="16">
        <v>2148.65</v>
      </c>
      <c r="F348" s="16">
        <v>13238.73</v>
      </c>
      <c r="G348" s="16" t="str">
        <f>_xlfn.DISPIMG("ID_C7A09A4CEAD74A7FA1561E7C70BFBA19",1)</f>
        <v>=DISPIMG("ID_C7A09A4CEAD74A7FA1561E7C70BFBA19",1)</v>
      </c>
      <c r="H348" s="16" t="s">
        <v>130</v>
      </c>
      <c r="I348" s="9" t="s">
        <v>225</v>
      </c>
      <c r="J348" s="16" t="s">
        <v>482</v>
      </c>
    </row>
    <row r="349" s="21" customFormat="1" ht="121.5" spans="1:10">
      <c r="A349" s="38">
        <v>120</v>
      </c>
      <c r="B349" s="16" t="s">
        <v>216</v>
      </c>
      <c r="C349" s="16" t="s">
        <v>11</v>
      </c>
      <c r="D349" s="16"/>
      <c r="E349" s="16">
        <v>824.3</v>
      </c>
      <c r="F349" s="16">
        <v>12381.79</v>
      </c>
      <c r="G349" s="16" t="str">
        <f>_xlfn.DISPIMG("ID_DA1B4ECE6C7D45C5A4F5BA469ACED891",1)</f>
        <v>=DISPIMG("ID_DA1B4ECE6C7D45C5A4F5BA469ACED891",1)</v>
      </c>
      <c r="H349" s="16" t="s">
        <v>130</v>
      </c>
      <c r="I349" s="9" t="s">
        <v>217</v>
      </c>
      <c r="J349" s="16" t="s">
        <v>482</v>
      </c>
    </row>
    <row r="350" s="21" customFormat="1" ht="172.6" spans="1:10">
      <c r="A350" s="38">
        <v>121</v>
      </c>
      <c r="B350" s="16" t="s">
        <v>577</v>
      </c>
      <c r="C350" s="16" t="s">
        <v>11</v>
      </c>
      <c r="D350" s="16"/>
      <c r="E350" s="16">
        <v>1380.5</v>
      </c>
      <c r="F350" s="16">
        <v>12189.86</v>
      </c>
      <c r="G350" s="16" t="str">
        <f>_xlfn.DISPIMG("ID_C38F72240DE94E5D905E1B31A38F8960",1)</f>
        <v>=DISPIMG("ID_C38F72240DE94E5D905E1B31A38F8960",1)</v>
      </c>
      <c r="H350" s="16" t="s">
        <v>130</v>
      </c>
      <c r="I350" s="9" t="s">
        <v>578</v>
      </c>
      <c r="J350" s="16" t="s">
        <v>482</v>
      </c>
    </row>
    <row r="351" s="21" customFormat="1" ht="114" spans="1:10">
      <c r="A351" s="38">
        <v>122</v>
      </c>
      <c r="B351" s="16" t="s">
        <v>300</v>
      </c>
      <c r="C351" s="16" t="s">
        <v>11</v>
      </c>
      <c r="D351" s="16"/>
      <c r="E351" s="16">
        <v>1980.15</v>
      </c>
      <c r="F351" s="16">
        <v>11742.32</v>
      </c>
      <c r="G351" s="16" t="str">
        <f>_xlfn.DISPIMG("ID_E8FA0B55589B4C7E8E08F58CDB6797E7",1)</f>
        <v>=DISPIMG("ID_E8FA0B55589B4C7E8E08F58CDB6797E7",1)</v>
      </c>
      <c r="H351" s="16" t="s">
        <v>130</v>
      </c>
      <c r="I351" s="9" t="s">
        <v>301</v>
      </c>
      <c r="J351" s="16" t="s">
        <v>482</v>
      </c>
    </row>
    <row r="352" s="21" customFormat="1" ht="165.75" spans="1:10">
      <c r="A352" s="38">
        <v>123</v>
      </c>
      <c r="B352" s="16" t="s">
        <v>330</v>
      </c>
      <c r="C352" s="16" t="s">
        <v>11</v>
      </c>
      <c r="D352" s="16"/>
      <c r="E352" s="16">
        <v>1466.35</v>
      </c>
      <c r="F352" s="16">
        <v>11612.02</v>
      </c>
      <c r="G352" s="16" t="str">
        <f>_xlfn.DISPIMG("ID_8EC5F64C3BF8448C9052B77A846A48B4",1)</f>
        <v>=DISPIMG("ID_8EC5F64C3BF8448C9052B77A846A48B4",1)</v>
      </c>
      <c r="H352" s="16" t="s">
        <v>130</v>
      </c>
      <c r="I352" s="9" t="s">
        <v>331</v>
      </c>
      <c r="J352" s="16" t="s">
        <v>482</v>
      </c>
    </row>
    <row r="353" s="21" customFormat="1" ht="99.75" spans="1:10">
      <c r="A353" s="38">
        <v>124</v>
      </c>
      <c r="B353" s="16" t="s">
        <v>230</v>
      </c>
      <c r="C353" s="16" t="s">
        <v>11</v>
      </c>
      <c r="D353" s="16"/>
      <c r="E353" s="16">
        <v>3723.75</v>
      </c>
      <c r="F353" s="16">
        <v>11431.93</v>
      </c>
      <c r="G353" s="16" t="str">
        <f>_xlfn.DISPIMG("ID_CBF4BBEA728B4E98B98F42B097A43E33",1)</f>
        <v>=DISPIMG("ID_CBF4BBEA728B4E98B98F42B097A43E33",1)</v>
      </c>
      <c r="H353" s="16" t="s">
        <v>130</v>
      </c>
      <c r="I353" s="9" t="s">
        <v>231</v>
      </c>
      <c r="J353" s="16" t="s">
        <v>482</v>
      </c>
    </row>
    <row r="354" s="21" customFormat="1" ht="164.5" spans="1:10">
      <c r="A354" s="38">
        <v>125</v>
      </c>
      <c r="B354" s="16" t="s">
        <v>198</v>
      </c>
      <c r="C354" s="16" t="s">
        <v>11</v>
      </c>
      <c r="D354" s="16"/>
      <c r="E354" s="16">
        <v>669.9</v>
      </c>
      <c r="F354" s="16">
        <v>11388.3</v>
      </c>
      <c r="G354" s="16" t="str">
        <f>_xlfn.DISPIMG("ID_A70EF3CE54A94AEDA43D2118058D056C",1)</f>
        <v>=DISPIMG("ID_A70EF3CE54A94AEDA43D2118058D056C",1)</v>
      </c>
      <c r="H354" s="16" t="s">
        <v>130</v>
      </c>
      <c r="I354" s="9" t="s">
        <v>199</v>
      </c>
      <c r="J354" s="16" t="s">
        <v>482</v>
      </c>
    </row>
    <row r="355" s="21" customFormat="1" ht="120.45" spans="1:10">
      <c r="A355" s="38">
        <v>126</v>
      </c>
      <c r="B355" s="16" t="s">
        <v>579</v>
      </c>
      <c r="C355" s="16" t="s">
        <v>11</v>
      </c>
      <c r="D355" s="16"/>
      <c r="E355" s="16">
        <v>1029.35</v>
      </c>
      <c r="F355" s="16">
        <v>10180.32</v>
      </c>
      <c r="G355" s="16" t="str">
        <f>_xlfn.DISPIMG("ID_57D06109A27F4ACEAA88E61A2F271B42",1)</f>
        <v>=DISPIMG("ID_57D06109A27F4ACEAA88E61A2F271B42",1)</v>
      </c>
      <c r="H355" s="16" t="s">
        <v>130</v>
      </c>
      <c r="I355" s="9" t="s">
        <v>580</v>
      </c>
      <c r="J355" s="16" t="s">
        <v>482</v>
      </c>
    </row>
    <row r="356" s="21" customFormat="1" ht="109.5" spans="1:10">
      <c r="A356" s="38">
        <v>127</v>
      </c>
      <c r="B356" s="16" t="s">
        <v>206</v>
      </c>
      <c r="C356" s="16" t="s">
        <v>11</v>
      </c>
      <c r="D356" s="16"/>
      <c r="E356" s="16">
        <v>766.9</v>
      </c>
      <c r="F356" s="16">
        <v>9854.69</v>
      </c>
      <c r="G356" s="16" t="str">
        <f>_xlfn.DISPIMG("ID_3F6F0A0783D24A88BD713C56B6A88F3D",1)</f>
        <v>=DISPIMG("ID_3F6F0A0783D24A88BD713C56B6A88F3D",1)</v>
      </c>
      <c r="H356" s="16" t="s">
        <v>130</v>
      </c>
      <c r="I356" s="9" t="s">
        <v>207</v>
      </c>
      <c r="J356" s="16" t="s">
        <v>482</v>
      </c>
    </row>
    <row r="357" s="21" customFormat="1" ht="79.5" spans="1:10">
      <c r="A357" s="38">
        <v>128</v>
      </c>
      <c r="B357" s="16" t="s">
        <v>302</v>
      </c>
      <c r="C357" s="16" t="s">
        <v>11</v>
      </c>
      <c r="D357" s="16"/>
      <c r="E357" s="16">
        <v>880.05</v>
      </c>
      <c r="F357" s="16">
        <v>9715.77999999999</v>
      </c>
      <c r="G357" s="16" t="str">
        <f>_xlfn.DISPIMG("ID_F9208BDB91F243ACB6D1673EEEB80EC2",1)</f>
        <v>=DISPIMG("ID_F9208BDB91F243ACB6D1673EEEB80EC2",1)</v>
      </c>
      <c r="H357" s="16" t="s">
        <v>130</v>
      </c>
      <c r="I357" s="9" t="s">
        <v>303</v>
      </c>
      <c r="J357" s="16" t="s">
        <v>482</v>
      </c>
    </row>
    <row r="358" s="21" customFormat="1" ht="143.3" spans="1:10">
      <c r="A358" s="38">
        <v>129</v>
      </c>
      <c r="B358" s="16" t="s">
        <v>581</v>
      </c>
      <c r="C358" s="16" t="s">
        <v>11</v>
      </c>
      <c r="D358" s="16"/>
      <c r="E358" s="16">
        <v>1</v>
      </c>
      <c r="F358" s="16">
        <v>11</v>
      </c>
      <c r="G358" s="16" t="str">
        <f>_xlfn.DISPIMG("ID_81FBA0C8E4194B52928FB953D8F445E1",1)</f>
        <v>=DISPIMG("ID_81FBA0C8E4194B52928FB953D8F445E1",1)</v>
      </c>
      <c r="H358" s="16" t="s">
        <v>130</v>
      </c>
      <c r="I358" s="9" t="s">
        <v>303</v>
      </c>
      <c r="J358" s="16" t="s">
        <v>582</v>
      </c>
    </row>
    <row r="359" s="21" customFormat="1" ht="132.75" spans="1:10">
      <c r="A359" s="38">
        <v>130</v>
      </c>
      <c r="B359" s="16" t="s">
        <v>190</v>
      </c>
      <c r="C359" s="16" t="s">
        <v>11</v>
      </c>
      <c r="D359" s="16"/>
      <c r="E359" s="16">
        <v>1288.65</v>
      </c>
      <c r="F359" s="16">
        <v>9407.2</v>
      </c>
      <c r="G359" s="16" t="str">
        <f>_xlfn.DISPIMG("ID_AB66D5FBF42F4E2B9B68BA43698EF532",1)</f>
        <v>=DISPIMG("ID_AB66D5FBF42F4E2B9B68BA43698EF532",1)</v>
      </c>
      <c r="H359" s="16" t="s">
        <v>130</v>
      </c>
      <c r="I359" s="9" t="s">
        <v>191</v>
      </c>
      <c r="J359" s="16" t="s">
        <v>482</v>
      </c>
    </row>
    <row r="360" s="21" customFormat="1" ht="84" spans="1:10">
      <c r="A360" s="38">
        <v>131</v>
      </c>
      <c r="B360" s="16" t="s">
        <v>334</v>
      </c>
      <c r="C360" s="16" t="s">
        <v>11</v>
      </c>
      <c r="D360" s="16"/>
      <c r="E360" s="16">
        <v>1161.6</v>
      </c>
      <c r="F360" s="16">
        <v>9141.82</v>
      </c>
      <c r="G360" s="16" t="str">
        <f>_xlfn.DISPIMG("ID_79A4E4AC6ECA4E48AC9A8BAB2ACE2998",1)</f>
        <v>=DISPIMG("ID_79A4E4AC6ECA4E48AC9A8BAB2ACE2998",1)</v>
      </c>
      <c r="H360" s="16" t="s">
        <v>130</v>
      </c>
      <c r="I360" s="9" t="s">
        <v>225</v>
      </c>
      <c r="J360" s="16" t="s">
        <v>482</v>
      </c>
    </row>
    <row r="361" s="21" customFormat="1" ht="225.75" spans="1:10">
      <c r="A361" s="38">
        <v>132</v>
      </c>
      <c r="B361" s="16" t="s">
        <v>583</v>
      </c>
      <c r="C361" s="16" t="s">
        <v>11</v>
      </c>
      <c r="D361" s="16"/>
      <c r="E361" s="16">
        <v>1075.9</v>
      </c>
      <c r="F361" s="16">
        <v>8607.2</v>
      </c>
      <c r="G361" s="16" t="str">
        <f>_xlfn.DISPIMG("ID_28ECC52504604BCC880ED9EE793BEA2F",1)</f>
        <v>=DISPIMG("ID_28ECC52504604BCC880ED9EE793BEA2F",1)</v>
      </c>
      <c r="H361" s="16" t="s">
        <v>130</v>
      </c>
      <c r="I361" s="9" t="s">
        <v>584</v>
      </c>
      <c r="J361" s="16" t="s">
        <v>482</v>
      </c>
    </row>
    <row r="362" s="21" customFormat="1" ht="122.05" spans="1:10">
      <c r="A362" s="38">
        <v>133</v>
      </c>
      <c r="B362" s="16" t="s">
        <v>337</v>
      </c>
      <c r="C362" s="16" t="s">
        <v>11</v>
      </c>
      <c r="D362" s="16"/>
      <c r="E362" s="16">
        <v>561.7</v>
      </c>
      <c r="F362" s="16">
        <v>8112.2</v>
      </c>
      <c r="G362" s="16" t="str">
        <f>_xlfn.DISPIMG("ID_3B2D8C43106A49989C636695F2474881",1)</f>
        <v>=DISPIMG("ID_3B2D8C43106A49989C636695F2474881",1)</v>
      </c>
      <c r="H362" s="16" t="s">
        <v>130</v>
      </c>
      <c r="I362" s="9" t="s">
        <v>338</v>
      </c>
      <c r="J362" s="16" t="s">
        <v>482</v>
      </c>
    </row>
    <row r="363" s="21" customFormat="1" ht="191.7" spans="1:10">
      <c r="A363" s="38">
        <v>134</v>
      </c>
      <c r="B363" s="16" t="s">
        <v>355</v>
      </c>
      <c r="C363" s="16" t="s">
        <v>11</v>
      </c>
      <c r="D363" s="16"/>
      <c r="E363" s="16">
        <v>911.95</v>
      </c>
      <c r="F363" s="16">
        <v>7485.13</v>
      </c>
      <c r="G363" s="16" t="str">
        <f>_xlfn.DISPIMG("ID_5887786ECAAE4DF6BA1B1F0F40419E17",1)</f>
        <v>=DISPIMG("ID_5887786ECAAE4DF6BA1B1F0F40419E17",1)</v>
      </c>
      <c r="H363" s="16" t="s">
        <v>130</v>
      </c>
      <c r="I363" s="9" t="s">
        <v>356</v>
      </c>
      <c r="J363" s="16" t="s">
        <v>585</v>
      </c>
    </row>
    <row r="364" s="21" customFormat="1" ht="213.25" spans="1:10">
      <c r="A364" s="38">
        <v>135</v>
      </c>
      <c r="B364" s="16" t="s">
        <v>359</v>
      </c>
      <c r="C364" s="16" t="s">
        <v>11</v>
      </c>
      <c r="D364" s="16"/>
      <c r="E364" s="16">
        <v>733.9</v>
      </c>
      <c r="F364" s="16">
        <v>7430.41</v>
      </c>
      <c r="G364" s="16" t="str">
        <f>_xlfn.DISPIMG("ID_03F8EFAFFB084BE3B6895B5B453E509D",1)</f>
        <v>=DISPIMG("ID_03F8EFAFFB084BE3B6895B5B453E509D",1)</v>
      </c>
      <c r="H364" s="16" t="s">
        <v>130</v>
      </c>
      <c r="I364" s="9" t="s">
        <v>360</v>
      </c>
      <c r="J364" s="16" t="s">
        <v>571</v>
      </c>
    </row>
    <row r="365" s="21" customFormat="1" ht="169.7" spans="1:10">
      <c r="A365" s="38">
        <v>136</v>
      </c>
      <c r="B365" s="16" t="s">
        <v>371</v>
      </c>
      <c r="C365" s="16" t="s">
        <v>11</v>
      </c>
      <c r="D365" s="16"/>
      <c r="E365" s="16">
        <v>990.55</v>
      </c>
      <c r="F365" s="16">
        <v>7349.89</v>
      </c>
      <c r="G365" s="16" t="str">
        <f>_xlfn.DISPIMG("ID_5C389A118073465B9F57FA8C6132D27D",1)</f>
        <v>=DISPIMG("ID_5C389A118073465B9F57FA8C6132D27D",1)</v>
      </c>
      <c r="H365" s="16" t="s">
        <v>130</v>
      </c>
      <c r="I365" s="9" t="s">
        <v>276</v>
      </c>
      <c r="J365" s="16" t="s">
        <v>482</v>
      </c>
    </row>
    <row r="366" s="21" customFormat="1" ht="156.55" spans="1:10">
      <c r="A366" s="38">
        <v>137</v>
      </c>
      <c r="B366" s="16" t="s">
        <v>378</v>
      </c>
      <c r="C366" s="16" t="s">
        <v>11</v>
      </c>
      <c r="D366" s="16"/>
      <c r="E366" s="16">
        <v>790.8</v>
      </c>
      <c r="F366" s="16">
        <v>7030.31</v>
      </c>
      <c r="G366" s="16" t="str">
        <f>_xlfn.DISPIMG("ID_82273566D5274DB2B2913EAF25252086",1)</f>
        <v>=DISPIMG("ID_82273566D5274DB2B2913EAF25252086",1)</v>
      </c>
      <c r="H366" s="16" t="s">
        <v>130</v>
      </c>
      <c r="I366" s="9" t="s">
        <v>379</v>
      </c>
      <c r="J366" s="16" t="s">
        <v>482</v>
      </c>
    </row>
    <row r="367" s="21" customFormat="1" ht="188.25" spans="1:10">
      <c r="A367" s="38">
        <v>138</v>
      </c>
      <c r="B367" s="16" t="s">
        <v>143</v>
      </c>
      <c r="C367" s="16" t="s">
        <v>11</v>
      </c>
      <c r="D367" s="16"/>
      <c r="E367" s="16">
        <v>104.45</v>
      </c>
      <c r="F367" s="16">
        <v>6893.7</v>
      </c>
      <c r="G367" s="16" t="str">
        <f>_xlfn.DISPIMG("ID_5B1DE3DD2DB3436D904FB35795CBCAAF",1)</f>
        <v>=DISPIMG("ID_5B1DE3DD2DB3436D904FB35795CBCAAF",1)</v>
      </c>
      <c r="H367" s="16" t="s">
        <v>130</v>
      </c>
      <c r="I367" s="9" t="s">
        <v>144</v>
      </c>
      <c r="J367" s="16" t="s">
        <v>482</v>
      </c>
    </row>
    <row r="368" s="21" customFormat="1" ht="160.2" spans="1:10">
      <c r="A368" s="38">
        <v>139</v>
      </c>
      <c r="B368" s="16" t="s">
        <v>320</v>
      </c>
      <c r="C368" s="16" t="s">
        <v>11</v>
      </c>
      <c r="D368" s="16"/>
      <c r="E368" s="16">
        <v>903.7</v>
      </c>
      <c r="F368" s="16">
        <v>6325.9</v>
      </c>
      <c r="G368" s="16" t="str">
        <f>_xlfn.DISPIMG("ID_3234E0BDACD74B66A6B79585DE2881F7",1)</f>
        <v>=DISPIMG("ID_3234E0BDACD74B66A6B79585DE2881F7",1)</v>
      </c>
      <c r="H368" s="16" t="s">
        <v>130</v>
      </c>
      <c r="I368" s="9" t="s">
        <v>321</v>
      </c>
      <c r="J368" s="16" t="s">
        <v>482</v>
      </c>
    </row>
    <row r="369" s="21" customFormat="1" ht="107.3" spans="1:10">
      <c r="A369" s="38">
        <v>140</v>
      </c>
      <c r="B369" s="16" t="s">
        <v>586</v>
      </c>
      <c r="C369" s="16" t="s">
        <v>11</v>
      </c>
      <c r="D369" s="16"/>
      <c r="E369" s="16">
        <v>750.2</v>
      </c>
      <c r="F369" s="16">
        <v>6001.6</v>
      </c>
      <c r="G369" s="16" t="str">
        <f>_xlfn.DISPIMG("ID_9F44273E9D8547FB96EED65828939963",1)</f>
        <v>=DISPIMG("ID_9F44273E9D8547FB96EED65828939963",1)</v>
      </c>
      <c r="H369" s="16" t="s">
        <v>130</v>
      </c>
      <c r="I369" s="9" t="s">
        <v>587</v>
      </c>
      <c r="J369" s="16" t="s">
        <v>482</v>
      </c>
    </row>
    <row r="370" s="21" customFormat="1" ht="108" spans="1:10">
      <c r="A370" s="38">
        <v>141</v>
      </c>
      <c r="B370" s="16" t="s">
        <v>234</v>
      </c>
      <c r="C370" s="16" t="s">
        <v>11</v>
      </c>
      <c r="D370" s="16"/>
      <c r="E370" s="16">
        <v>255.55</v>
      </c>
      <c r="F370" s="16">
        <v>5983.83</v>
      </c>
      <c r="G370" s="16" t="str">
        <f>_xlfn.DISPIMG("ID_7F0CFF5FE4AE404C88CDA03E087CB60D",1)</f>
        <v>=DISPIMG("ID_7F0CFF5FE4AE404C88CDA03E087CB60D",1)</v>
      </c>
      <c r="H370" s="16" t="s">
        <v>130</v>
      </c>
      <c r="I370" s="9" t="s">
        <v>235</v>
      </c>
      <c r="J370" s="16" t="s">
        <v>482</v>
      </c>
    </row>
    <row r="371" s="21" customFormat="1" ht="171.65" spans="1:10">
      <c r="A371" s="38">
        <v>142</v>
      </c>
      <c r="B371" s="16" t="s">
        <v>588</v>
      </c>
      <c r="C371" s="16" t="s">
        <v>11</v>
      </c>
      <c r="D371" s="16"/>
      <c r="E371" s="16">
        <v>628.45</v>
      </c>
      <c r="F371" s="16">
        <v>5794.33</v>
      </c>
      <c r="G371" s="16" t="str">
        <f>_xlfn.DISPIMG("ID_774F0382F8B34BB2AF6323226C2205BC",1)</f>
        <v>=DISPIMG("ID_774F0382F8B34BB2AF6323226C2205BC",1)</v>
      </c>
      <c r="H371" s="16" t="s">
        <v>130</v>
      </c>
      <c r="I371" s="9" t="s">
        <v>589</v>
      </c>
      <c r="J371" s="16" t="s">
        <v>482</v>
      </c>
    </row>
    <row r="372" s="21" customFormat="1" ht="169.3" spans="1:10">
      <c r="A372" s="38">
        <v>143</v>
      </c>
      <c r="B372" s="16" t="s">
        <v>345</v>
      </c>
      <c r="C372" s="16" t="s">
        <v>11</v>
      </c>
      <c r="D372" s="16"/>
      <c r="E372" s="16">
        <v>485.5</v>
      </c>
      <c r="F372" s="16">
        <v>5733.78</v>
      </c>
      <c r="G372" s="16" t="str">
        <f>_xlfn.DISPIMG("ID_C21662AFAD814D98ACDEE07390C9AB9C",1)</f>
        <v>=DISPIMG("ID_C21662AFAD814D98ACDEE07390C9AB9C",1)</v>
      </c>
      <c r="H372" s="16" t="s">
        <v>130</v>
      </c>
      <c r="I372" s="9" t="s">
        <v>346</v>
      </c>
      <c r="J372" s="16" t="s">
        <v>482</v>
      </c>
    </row>
    <row r="373" s="21" customFormat="1" ht="151.85" spans="1:10">
      <c r="A373" s="38">
        <v>144</v>
      </c>
      <c r="B373" s="16" t="s">
        <v>296</v>
      </c>
      <c r="C373" s="16" t="s">
        <v>11</v>
      </c>
      <c r="D373" s="16"/>
      <c r="E373" s="16">
        <v>543.55</v>
      </c>
      <c r="F373" s="16">
        <v>5375.77</v>
      </c>
      <c r="G373" s="16" t="str">
        <f>_xlfn.DISPIMG("ID_0AF0963A28E4408797633E8A64E3B2C9",1)</f>
        <v>=DISPIMG("ID_0AF0963A28E4408797633E8A64E3B2C9",1)</v>
      </c>
      <c r="H373" s="16" t="s">
        <v>130</v>
      </c>
      <c r="I373" s="9" t="s">
        <v>297</v>
      </c>
      <c r="J373" s="16" t="s">
        <v>482</v>
      </c>
    </row>
    <row r="374" s="21" customFormat="1" ht="99" spans="1:10">
      <c r="A374" s="38">
        <v>145</v>
      </c>
      <c r="B374" s="16" t="s">
        <v>247</v>
      </c>
      <c r="C374" s="16" t="s">
        <v>11</v>
      </c>
      <c r="D374" s="16"/>
      <c r="E374" s="16">
        <v>809.65</v>
      </c>
      <c r="F374" s="16">
        <v>5286.97</v>
      </c>
      <c r="G374" s="16" t="str">
        <f>_xlfn.DISPIMG("ID_4508252B0E14484DA99AF03B8B94B68F",1)</f>
        <v>=DISPIMG("ID_4508252B0E14484DA99AF03B8B94B68F",1)</v>
      </c>
      <c r="H374" s="16" t="s">
        <v>130</v>
      </c>
      <c r="I374" s="9" t="s">
        <v>248</v>
      </c>
      <c r="J374" s="16" t="s">
        <v>482</v>
      </c>
    </row>
    <row r="375" s="21" customFormat="1" ht="153.05" spans="1:10">
      <c r="A375" s="38">
        <v>146</v>
      </c>
      <c r="B375" s="16" t="s">
        <v>259</v>
      </c>
      <c r="C375" s="16" t="s">
        <v>11</v>
      </c>
      <c r="D375" s="16"/>
      <c r="E375" s="16">
        <v>854.15</v>
      </c>
      <c r="F375" s="16">
        <v>5082.2</v>
      </c>
      <c r="G375" s="16" t="str">
        <f>_xlfn.DISPIMG("ID_9FD502A00609415CBD406D4501D94543",1)</f>
        <v>=DISPIMG("ID_9FD502A00609415CBD406D4501D94543",1)</v>
      </c>
      <c r="H375" s="16" t="s">
        <v>130</v>
      </c>
      <c r="I375" s="9" t="s">
        <v>260</v>
      </c>
      <c r="J375" s="16" t="s">
        <v>482</v>
      </c>
    </row>
    <row r="376" s="21" customFormat="1" ht="270.75" spans="1:10">
      <c r="A376" s="38">
        <v>147</v>
      </c>
      <c r="B376" s="16" t="s">
        <v>335</v>
      </c>
      <c r="C376" s="16" t="s">
        <v>11</v>
      </c>
      <c r="D376" s="16"/>
      <c r="E376" s="16">
        <v>679.05</v>
      </c>
      <c r="F376" s="16">
        <v>4957.19</v>
      </c>
      <c r="G376" s="16" t="str">
        <f>_xlfn.DISPIMG("ID_B2324FFE4093465294DF419ACCF0C702",1)</f>
        <v>=DISPIMG("ID_B2324FFE4093465294DF419ACCF0C702",1)</v>
      </c>
      <c r="H376" s="16" t="s">
        <v>130</v>
      </c>
      <c r="I376" s="9" t="s">
        <v>336</v>
      </c>
      <c r="J376" s="16" t="s">
        <v>482</v>
      </c>
    </row>
    <row r="377" s="21" customFormat="1" ht="177.8" spans="1:10">
      <c r="A377" s="38">
        <v>148</v>
      </c>
      <c r="B377" s="16" t="s">
        <v>590</v>
      </c>
      <c r="C377" s="16" t="s">
        <v>11</v>
      </c>
      <c r="D377" s="16"/>
      <c r="E377" s="16">
        <v>290.65</v>
      </c>
      <c r="F377" s="16">
        <v>4688.22</v>
      </c>
      <c r="G377" s="16" t="str">
        <f>_xlfn.DISPIMG("ID_10C0B64E46B841E8B7BE249998367883",1)</f>
        <v>=DISPIMG("ID_10C0B64E46B841E8B7BE249998367883",1)</v>
      </c>
      <c r="H377" s="16" t="s">
        <v>130</v>
      </c>
      <c r="I377" s="9" t="s">
        <v>342</v>
      </c>
      <c r="J377" s="16" t="s">
        <v>482</v>
      </c>
    </row>
    <row r="378" s="21" customFormat="1" ht="233.55" spans="1:10">
      <c r="A378" s="38">
        <v>149</v>
      </c>
      <c r="B378" s="16" t="s">
        <v>351</v>
      </c>
      <c r="C378" s="16" t="s">
        <v>11</v>
      </c>
      <c r="D378" s="16"/>
      <c r="E378" s="16">
        <v>213.15</v>
      </c>
      <c r="F378" s="16">
        <v>4625.45</v>
      </c>
      <c r="G378" s="16" t="str">
        <f>_xlfn.DISPIMG("ID_25474DC40BCE4C02A28DBEDBC392303D",1)</f>
        <v>=DISPIMG("ID_25474DC40BCE4C02A28DBEDBC392303D",1)</v>
      </c>
      <c r="H378" s="16" t="s">
        <v>130</v>
      </c>
      <c r="I378" s="9" t="s">
        <v>352</v>
      </c>
      <c r="J378" s="16" t="s">
        <v>482</v>
      </c>
    </row>
    <row r="379" s="21" customFormat="1" ht="54" spans="1:10">
      <c r="A379" s="38">
        <v>150</v>
      </c>
      <c r="B379" s="16" t="s">
        <v>591</v>
      </c>
      <c r="C379" s="16" t="s">
        <v>11</v>
      </c>
      <c r="D379" s="16"/>
      <c r="E379" s="16">
        <v>621.7</v>
      </c>
      <c r="F379" s="16">
        <v>4351.9</v>
      </c>
      <c r="G379" s="16" t="e">
        <v>#N/A</v>
      </c>
      <c r="H379" s="16" t="s">
        <v>130</v>
      </c>
      <c r="I379" s="9" t="s">
        <v>592</v>
      </c>
      <c r="J379" s="16" t="s">
        <v>482</v>
      </c>
    </row>
    <row r="380" s="21" customFormat="1" ht="264.3" spans="1:10">
      <c r="A380" s="38">
        <v>151</v>
      </c>
      <c r="B380" s="16" t="s">
        <v>593</v>
      </c>
      <c r="C380" s="16" t="s">
        <v>11</v>
      </c>
      <c r="D380" s="16"/>
      <c r="E380" s="16">
        <v>286.9</v>
      </c>
      <c r="F380" s="16">
        <v>4303.5</v>
      </c>
      <c r="G380" s="16" t="str">
        <f>_xlfn.DISPIMG("ID_A96C80F5C5CD4FBBB86BC9E1F2AB7076",1)</f>
        <v>=DISPIMG("ID_A96C80F5C5CD4FBBB86BC9E1F2AB7076",1)</v>
      </c>
      <c r="H380" s="16" t="s">
        <v>130</v>
      </c>
      <c r="I380" s="9" t="s">
        <v>594</v>
      </c>
      <c r="J380" s="16" t="s">
        <v>482</v>
      </c>
    </row>
    <row r="381" s="21" customFormat="1" ht="103.5" spans="1:10">
      <c r="A381" s="38">
        <v>152</v>
      </c>
      <c r="B381" s="16" t="s">
        <v>202</v>
      </c>
      <c r="C381" s="16" t="s">
        <v>11</v>
      </c>
      <c r="D381" s="16"/>
      <c r="E381" s="16">
        <v>381.25</v>
      </c>
      <c r="F381" s="16">
        <v>4209</v>
      </c>
      <c r="G381" s="16" t="str">
        <f>_xlfn.DISPIMG("ID_C1CC0E6666274BC28184C3F13B4C15E8",1)</f>
        <v>=DISPIMG("ID_C1CC0E6666274BC28184C3F13B4C15E8",1)</v>
      </c>
      <c r="H381" s="16" t="s">
        <v>130</v>
      </c>
      <c r="I381" s="9" t="s">
        <v>203</v>
      </c>
      <c r="J381" s="16" t="s">
        <v>482</v>
      </c>
    </row>
    <row r="382" s="21" customFormat="1" ht="189.45" spans="1:10">
      <c r="A382" s="38">
        <v>153</v>
      </c>
      <c r="B382" s="16" t="s">
        <v>279</v>
      </c>
      <c r="C382" s="16" t="s">
        <v>11</v>
      </c>
      <c r="D382" s="16"/>
      <c r="E382" s="16">
        <v>281.85</v>
      </c>
      <c r="F382" s="16">
        <v>4058.64</v>
      </c>
      <c r="G382" s="16" t="str">
        <f>_xlfn.DISPIMG("ID_932BFCADA7AC449F86CC5AC18D16556F",1)</f>
        <v>=DISPIMG("ID_932BFCADA7AC449F86CC5AC18D16556F",1)</v>
      </c>
      <c r="H382" s="16" t="s">
        <v>130</v>
      </c>
      <c r="I382" s="9" t="s">
        <v>280</v>
      </c>
      <c r="J382" s="16" t="s">
        <v>482</v>
      </c>
    </row>
    <row r="383" s="21" customFormat="1" ht="266.25" spans="1:10">
      <c r="A383" s="38">
        <v>154</v>
      </c>
      <c r="B383" s="16" t="s">
        <v>595</v>
      </c>
      <c r="C383" s="16" t="s">
        <v>11</v>
      </c>
      <c r="D383" s="16"/>
      <c r="E383" s="16">
        <v>488.85</v>
      </c>
      <c r="F383" s="16">
        <v>3402.94</v>
      </c>
      <c r="G383" s="16" t="str">
        <f>_xlfn.DISPIMG("ID_4F3483950B084BF88BB0C292251A6B67",1)</f>
        <v>=DISPIMG("ID_4F3483950B084BF88BB0C292251A6B67",1)</v>
      </c>
      <c r="H383" s="16" t="s">
        <v>130</v>
      </c>
      <c r="I383" s="9" t="s">
        <v>596</v>
      </c>
      <c r="J383" s="16" t="s">
        <v>482</v>
      </c>
    </row>
    <row r="384" s="21" customFormat="1" ht="147" spans="1:10">
      <c r="A384" s="38">
        <v>155</v>
      </c>
      <c r="B384" s="16" t="s">
        <v>149</v>
      </c>
      <c r="C384" s="16" t="s">
        <v>11</v>
      </c>
      <c r="D384" s="16"/>
      <c r="E384" s="16">
        <v>182</v>
      </c>
      <c r="F384" s="16">
        <v>3337.88</v>
      </c>
      <c r="G384" s="16" t="str">
        <f>_xlfn.DISPIMG("ID_C8ECECEA410447918AEFE0BAB72D6FEA",1)</f>
        <v>=DISPIMG("ID_C8ECECEA410447918AEFE0BAB72D6FEA",1)</v>
      </c>
      <c r="H384" s="16" t="s">
        <v>130</v>
      </c>
      <c r="I384" s="9" t="s">
        <v>150</v>
      </c>
      <c r="J384" s="16" t="s">
        <v>482</v>
      </c>
    </row>
    <row r="385" s="21" customFormat="1" ht="90" spans="1:10">
      <c r="A385" s="38">
        <v>156</v>
      </c>
      <c r="B385" s="16" t="s">
        <v>224</v>
      </c>
      <c r="C385" s="16" t="s">
        <v>11</v>
      </c>
      <c r="D385" s="16"/>
      <c r="E385" s="16">
        <v>410.15</v>
      </c>
      <c r="F385" s="16">
        <v>3030.99</v>
      </c>
      <c r="G385" s="16" t="str">
        <f>_xlfn.DISPIMG("ID_19005F663B7D403DBC5659555FB0BAC0",1)</f>
        <v>=DISPIMG("ID_19005F663B7D403DBC5659555FB0BAC0",1)</v>
      </c>
      <c r="H385" s="16" t="s">
        <v>130</v>
      </c>
      <c r="I385" s="9" t="s">
        <v>225</v>
      </c>
      <c r="J385" s="16" t="s">
        <v>482</v>
      </c>
    </row>
    <row r="386" s="21" customFormat="1" ht="182.45" spans="1:10">
      <c r="A386" s="38">
        <v>157</v>
      </c>
      <c r="B386" s="16" t="s">
        <v>597</v>
      </c>
      <c r="C386" s="16" t="s">
        <v>11</v>
      </c>
      <c r="D386" s="16"/>
      <c r="E386" s="16">
        <v>147.3</v>
      </c>
      <c r="F386" s="16">
        <v>2660.77</v>
      </c>
      <c r="G386" s="16" t="str">
        <f>_xlfn.DISPIMG("ID_8D58E57E81A343308D609D3338E300E3",1)</f>
        <v>=DISPIMG("ID_8D58E57E81A343308D609D3338E300E3",1)</v>
      </c>
      <c r="H386" s="16" t="s">
        <v>130</v>
      </c>
      <c r="I386" s="9" t="s">
        <v>598</v>
      </c>
      <c r="J386" s="16" t="s">
        <v>482</v>
      </c>
    </row>
    <row r="387" s="21" customFormat="1" ht="138.95" spans="1:10">
      <c r="A387" s="38">
        <v>158</v>
      </c>
      <c r="B387" s="16" t="s">
        <v>269</v>
      </c>
      <c r="C387" s="16" t="s">
        <v>11</v>
      </c>
      <c r="D387" s="16"/>
      <c r="E387" s="16">
        <v>83.8</v>
      </c>
      <c r="F387" s="16">
        <v>2426.35</v>
      </c>
      <c r="G387" s="16" t="str">
        <f>_xlfn.DISPIMG("ID_B17F860AFDA7439E8DF00979F0A85446",1)</f>
        <v>=DISPIMG("ID_B17F860AFDA7439E8DF00979F0A85446",1)</v>
      </c>
      <c r="H387" s="16" t="s">
        <v>130</v>
      </c>
      <c r="I387" s="9" t="s">
        <v>270</v>
      </c>
      <c r="J387" s="16" t="s">
        <v>482</v>
      </c>
    </row>
    <row r="388" s="21" customFormat="1" ht="179" spans="1:10">
      <c r="A388" s="38">
        <v>159</v>
      </c>
      <c r="B388" s="16" t="s">
        <v>599</v>
      </c>
      <c r="C388" s="16" t="s">
        <v>11</v>
      </c>
      <c r="D388" s="16"/>
      <c r="E388" s="16">
        <v>184.25</v>
      </c>
      <c r="F388" s="16">
        <v>2406.29</v>
      </c>
      <c r="G388" s="16" t="str">
        <f>_xlfn.DISPIMG("ID_CEE5FBD3699E4D1BBB4CA13CCF895DCA",1)</f>
        <v>=DISPIMG("ID_CEE5FBD3699E4D1BBB4CA13CCF895DCA",1)</v>
      </c>
      <c r="H388" s="16" t="s">
        <v>130</v>
      </c>
      <c r="I388" s="9" t="s">
        <v>600</v>
      </c>
      <c r="J388" s="16" t="s">
        <v>482</v>
      </c>
    </row>
    <row r="389" s="21" customFormat="1" ht="228.2" spans="1:10">
      <c r="A389" s="38">
        <v>160</v>
      </c>
      <c r="B389" s="16" t="s">
        <v>286</v>
      </c>
      <c r="C389" s="16" t="s">
        <v>11</v>
      </c>
      <c r="D389" s="16"/>
      <c r="E389" s="16">
        <v>166.2</v>
      </c>
      <c r="F389" s="16">
        <v>2233.74</v>
      </c>
      <c r="G389" s="16" t="str">
        <f>_xlfn.DISPIMG("ID_F64A429F78C14B1DB65F2C1103D1F49C",1)</f>
        <v>=DISPIMG("ID_F64A429F78C14B1DB65F2C1103D1F49C",1)</v>
      </c>
      <c r="H389" s="16" t="s">
        <v>130</v>
      </c>
      <c r="I389" s="9" t="s">
        <v>287</v>
      </c>
      <c r="J389" s="16" t="s">
        <v>482</v>
      </c>
    </row>
    <row r="390" s="21" customFormat="1" ht="147.3" spans="1:10">
      <c r="A390" s="38">
        <v>161</v>
      </c>
      <c r="B390" s="16" t="s">
        <v>309</v>
      </c>
      <c r="C390" s="16" t="s">
        <v>11</v>
      </c>
      <c r="D390" s="16"/>
      <c r="E390" s="16">
        <v>148.7</v>
      </c>
      <c r="F390" s="16">
        <v>2055.05</v>
      </c>
      <c r="G390" s="16" t="str">
        <f>_xlfn.DISPIMG("ID_9C78A88ACB594AC8B2F2A8D72E66738A",1)</f>
        <v>=DISPIMG("ID_9C78A88ACB594AC8B2F2A8D72E66738A",1)</v>
      </c>
      <c r="H390" s="16" t="s">
        <v>130</v>
      </c>
      <c r="I390" s="9" t="s">
        <v>310</v>
      </c>
      <c r="J390" s="16" t="s">
        <v>482</v>
      </c>
    </row>
    <row r="391" s="21" customFormat="1" ht="141.75" spans="1:10">
      <c r="A391" s="38">
        <v>162</v>
      </c>
      <c r="B391" s="16" t="s">
        <v>169</v>
      </c>
      <c r="C391" s="16" t="s">
        <v>11</v>
      </c>
      <c r="D391" s="16"/>
      <c r="E391" s="16">
        <v>44.55</v>
      </c>
      <c r="F391" s="16">
        <v>2004.75</v>
      </c>
      <c r="G391" s="16" t="str">
        <f>_xlfn.DISPIMG("ID_4F842F75ACF04245BD32C586C2E3F083",1)</f>
        <v>=DISPIMG("ID_4F842F75ACF04245BD32C586C2E3F083",1)</v>
      </c>
      <c r="H391" s="16" t="s">
        <v>130</v>
      </c>
      <c r="I391" s="9" t="s">
        <v>170</v>
      </c>
      <c r="J391" s="16" t="s">
        <v>485</v>
      </c>
    </row>
    <row r="392" s="21" customFormat="1" ht="86.25" spans="1:10">
      <c r="A392" s="38">
        <v>163</v>
      </c>
      <c r="B392" s="16" t="s">
        <v>245</v>
      </c>
      <c r="C392" s="16" t="s">
        <v>11</v>
      </c>
      <c r="D392" s="16"/>
      <c r="E392" s="16">
        <v>246.7</v>
      </c>
      <c r="F392" s="16">
        <v>1976.12</v>
      </c>
      <c r="G392" s="16" t="str">
        <f>_xlfn.DISPIMG("ID_9AA64CB1FCC54286BEA72F95F261B35E",1)</f>
        <v>=DISPIMG("ID_9AA64CB1FCC54286BEA72F95F261B35E",1)</v>
      </c>
      <c r="H392" s="16" t="s">
        <v>130</v>
      </c>
      <c r="I392" s="9" t="s">
        <v>246</v>
      </c>
      <c r="J392" s="16" t="s">
        <v>482</v>
      </c>
    </row>
    <row r="393" s="21" customFormat="1" ht="201" spans="1:10">
      <c r="A393" s="38">
        <v>164</v>
      </c>
      <c r="B393" s="16" t="s">
        <v>601</v>
      </c>
      <c r="C393" s="16" t="s">
        <v>11</v>
      </c>
      <c r="D393" s="16"/>
      <c r="E393" s="16">
        <v>28.5</v>
      </c>
      <c r="F393" s="16">
        <v>1915.2</v>
      </c>
      <c r="G393" s="16" t="str">
        <f>_xlfn.DISPIMG("ID_B23031381BBD4850AB8865E3CB2FE747",1)</f>
        <v>=DISPIMG("ID_B23031381BBD4850AB8865E3CB2FE747",1)</v>
      </c>
      <c r="H393" s="16" t="s">
        <v>130</v>
      </c>
      <c r="I393" s="9" t="s">
        <v>602</v>
      </c>
      <c r="J393" s="16" t="s">
        <v>482</v>
      </c>
    </row>
    <row r="394" s="21" customFormat="1" ht="169.55" spans="1:10">
      <c r="A394" s="38">
        <v>165</v>
      </c>
      <c r="B394" s="16" t="s">
        <v>603</v>
      </c>
      <c r="C394" s="16" t="s">
        <v>11</v>
      </c>
      <c r="D394" s="16"/>
      <c r="E394" s="16">
        <v>68.5</v>
      </c>
      <c r="F394" s="16">
        <v>1759.77</v>
      </c>
      <c r="G394" s="16" t="str">
        <f>_xlfn.DISPIMG("ID_A3D496CD372C44A9BF4E2CD8770827AE",1)</f>
        <v>=DISPIMG("ID_A3D496CD372C44A9BF4E2CD8770827AE",1)</v>
      </c>
      <c r="H394" s="16" t="s">
        <v>130</v>
      </c>
      <c r="I394" s="9" t="s">
        <v>604</v>
      </c>
      <c r="J394" s="16" t="s">
        <v>482</v>
      </c>
    </row>
    <row r="395" s="21" customFormat="1" ht="127.5" spans="1:10">
      <c r="A395" s="38">
        <v>166</v>
      </c>
      <c r="B395" s="16" t="s">
        <v>186</v>
      </c>
      <c r="C395" s="16" t="s">
        <v>11</v>
      </c>
      <c r="D395" s="16"/>
      <c r="E395" s="16">
        <v>80</v>
      </c>
      <c r="F395" s="16">
        <v>1755.5</v>
      </c>
      <c r="G395" s="16" t="str">
        <f>_xlfn.DISPIMG("ID_D1A93D0C705343C887DE4431168AE253",1)</f>
        <v>=DISPIMG("ID_D1A93D0C705343C887DE4431168AE253",1)</v>
      </c>
      <c r="H395" s="16" t="s">
        <v>130</v>
      </c>
      <c r="I395" s="9" t="s">
        <v>187</v>
      </c>
      <c r="J395" s="16" t="s">
        <v>482</v>
      </c>
    </row>
    <row r="396" s="21" customFormat="1" ht="129.75" spans="1:10">
      <c r="A396" s="38">
        <v>167</v>
      </c>
      <c r="B396" s="16" t="s">
        <v>166</v>
      </c>
      <c r="C396" s="16" t="s">
        <v>11</v>
      </c>
      <c r="D396" s="16"/>
      <c r="E396" s="16">
        <v>84.55</v>
      </c>
      <c r="F396" s="16">
        <v>1712.98</v>
      </c>
      <c r="G396" s="16" t="str">
        <f>_xlfn.DISPIMG("ID_5A31EC5149674C509B44730F19BAA0FA",1)</f>
        <v>=DISPIMG("ID_5A31EC5149674C509B44730F19BAA0FA",1)</v>
      </c>
      <c r="H396" s="16" t="s">
        <v>130</v>
      </c>
      <c r="I396" s="9" t="s">
        <v>167</v>
      </c>
      <c r="J396" s="16" t="s">
        <v>482</v>
      </c>
    </row>
    <row r="397" s="21" customFormat="1" ht="231.05" spans="1:10">
      <c r="A397" s="38">
        <v>168</v>
      </c>
      <c r="B397" s="16" t="s">
        <v>605</v>
      </c>
      <c r="C397" s="16" t="s">
        <v>11</v>
      </c>
      <c r="D397" s="16"/>
      <c r="E397" s="16">
        <v>126.3</v>
      </c>
      <c r="F397" s="16">
        <v>1576.26</v>
      </c>
      <c r="G397" s="16" t="str">
        <f>_xlfn.DISPIMG("ID_7C1EE7145B214C4BB1013293DD4CB5E3",1)</f>
        <v>=DISPIMG("ID_7C1EE7145B214C4BB1013293DD4CB5E3",1)</v>
      </c>
      <c r="H397" s="16" t="s">
        <v>130</v>
      </c>
      <c r="I397" s="9" t="s">
        <v>600</v>
      </c>
      <c r="J397" s="16" t="s">
        <v>482</v>
      </c>
    </row>
    <row r="398" s="21" customFormat="1" ht="129.7" spans="1:10">
      <c r="A398" s="38">
        <v>169</v>
      </c>
      <c r="B398" s="16" t="s">
        <v>157</v>
      </c>
      <c r="C398" s="16" t="s">
        <v>11</v>
      </c>
      <c r="D398" s="16"/>
      <c r="E398" s="16">
        <v>27.95</v>
      </c>
      <c r="F398" s="16">
        <v>1453.4</v>
      </c>
      <c r="G398" s="16" t="str">
        <f>_xlfn.DISPIMG("ID_B0A36632FE39429FA4BC8B3C88E61680",1)</f>
        <v>=DISPIMG("ID_B0A36632FE39429FA4BC8B3C88E61680",1)</v>
      </c>
      <c r="H398" s="16" t="s">
        <v>130</v>
      </c>
      <c r="I398" s="9" t="s">
        <v>158</v>
      </c>
      <c r="J398" s="16" t="s">
        <v>482</v>
      </c>
    </row>
    <row r="399" s="21" customFormat="1" ht="172.05" spans="1:10">
      <c r="A399" s="38">
        <v>170</v>
      </c>
      <c r="B399" s="16" t="s">
        <v>145</v>
      </c>
      <c r="C399" s="16" t="s">
        <v>11</v>
      </c>
      <c r="D399" s="16"/>
      <c r="E399" s="16">
        <v>54.15</v>
      </c>
      <c r="F399" s="16">
        <v>1246.68</v>
      </c>
      <c r="G399" s="16" t="str">
        <f>_xlfn.DISPIMG("ID_5F5B8F86E7A84AA1A4E9099B2B9E2F9C",1)</f>
        <v>=DISPIMG("ID_5F5B8F86E7A84AA1A4E9099B2B9E2F9C",1)</v>
      </c>
      <c r="H399" s="16" t="s">
        <v>130</v>
      </c>
      <c r="I399" s="9" t="s">
        <v>146</v>
      </c>
      <c r="J399" s="16" t="s">
        <v>482</v>
      </c>
    </row>
    <row r="400" s="21" customFormat="1" ht="152.55" spans="1:10">
      <c r="A400" s="38">
        <v>171</v>
      </c>
      <c r="B400" s="16" t="s">
        <v>285</v>
      </c>
      <c r="C400" s="16" t="s">
        <v>11</v>
      </c>
      <c r="D400" s="16"/>
      <c r="E400" s="16">
        <v>149.4</v>
      </c>
      <c r="F400" s="16">
        <v>1192.94</v>
      </c>
      <c r="G400" s="16" t="str">
        <f>_xlfn.DISPIMG("ID_5CE15F6394EC4A62998C1AF47A425CE1",1)</f>
        <v>=DISPIMG("ID_5CE15F6394EC4A62998C1AF47A425CE1",1)</v>
      </c>
      <c r="H400" s="16" t="s">
        <v>130</v>
      </c>
      <c r="I400" s="9" t="s">
        <v>173</v>
      </c>
      <c r="J400" s="16" t="s">
        <v>482</v>
      </c>
    </row>
    <row r="401" s="21" customFormat="1" ht="96" spans="1:10">
      <c r="A401" s="38">
        <v>172</v>
      </c>
      <c r="B401" s="16" t="s">
        <v>208</v>
      </c>
      <c r="C401" s="16" t="s">
        <v>11</v>
      </c>
      <c r="D401" s="16"/>
      <c r="E401" s="16">
        <v>47.55</v>
      </c>
      <c r="F401" s="16">
        <v>1147.62</v>
      </c>
      <c r="G401" s="16" t="str">
        <f>_xlfn.DISPIMG("ID_71F097C969AD451082F75487D78A6B98",1)</f>
        <v>=DISPIMG("ID_71F097C969AD451082F75487D78A6B98",1)</v>
      </c>
      <c r="H401" s="16" t="s">
        <v>130</v>
      </c>
      <c r="I401" s="9" t="s">
        <v>209</v>
      </c>
      <c r="J401" s="16" t="s">
        <v>482</v>
      </c>
    </row>
    <row r="402" s="21" customFormat="1" ht="180.2" spans="1:10">
      <c r="A402" s="38">
        <v>173</v>
      </c>
      <c r="B402" s="16" t="s">
        <v>606</v>
      </c>
      <c r="C402" s="16" t="s">
        <v>11</v>
      </c>
      <c r="D402" s="16"/>
      <c r="E402" s="16">
        <v>93.1</v>
      </c>
      <c r="F402" s="16">
        <v>1110.69</v>
      </c>
      <c r="G402" s="16" t="str">
        <f>_xlfn.DISPIMG("ID_E179265EC83C459FB3DDD9156B39D795",1)</f>
        <v>=DISPIMG("ID_E179265EC83C459FB3DDD9156B39D795",1)</v>
      </c>
      <c r="H402" s="16" t="s">
        <v>130</v>
      </c>
      <c r="I402" s="9" t="s">
        <v>607</v>
      </c>
      <c r="J402" s="16" t="s">
        <v>482</v>
      </c>
    </row>
    <row r="403" s="21" customFormat="1" ht="172.5" spans="1:10">
      <c r="A403" s="38">
        <v>174</v>
      </c>
      <c r="B403" s="16" t="s">
        <v>608</v>
      </c>
      <c r="C403" s="16" t="s">
        <v>11</v>
      </c>
      <c r="D403" s="16"/>
      <c r="E403" s="16">
        <v>59.9</v>
      </c>
      <c r="F403" s="16">
        <v>1078.2</v>
      </c>
      <c r="G403" s="16" t="str">
        <f>_xlfn.DISPIMG("ID_BE2A9B9913F04C13817C097A77B26009",1)</f>
        <v>=DISPIMG("ID_BE2A9B9913F04C13817C097A77B26009",1)</v>
      </c>
      <c r="H403" s="16" t="s">
        <v>130</v>
      </c>
      <c r="I403" s="9" t="s">
        <v>609</v>
      </c>
      <c r="J403" s="16" t="s">
        <v>482</v>
      </c>
    </row>
    <row r="404" s="21" customFormat="1" ht="185.8" spans="1:10">
      <c r="A404" s="38">
        <v>175</v>
      </c>
      <c r="B404" s="16" t="s">
        <v>610</v>
      </c>
      <c r="C404" s="16" t="s">
        <v>11</v>
      </c>
      <c r="D404" s="16"/>
      <c r="E404" s="16">
        <v>117.65</v>
      </c>
      <c r="F404" s="16">
        <v>894.14</v>
      </c>
      <c r="G404" s="16" t="str">
        <f>_xlfn.DISPIMG("ID_8D6BED59C40D45339EBAC6E6688657A9",1)</f>
        <v>=DISPIMG("ID_8D6BED59C40D45339EBAC6E6688657A9",1)</v>
      </c>
      <c r="H404" s="16" t="s">
        <v>130</v>
      </c>
      <c r="I404" s="9" t="s">
        <v>611</v>
      </c>
      <c r="J404" s="16" t="s">
        <v>482</v>
      </c>
    </row>
    <row r="405" s="21" customFormat="1" ht="176.4" spans="1:10">
      <c r="A405" s="38">
        <v>176</v>
      </c>
      <c r="B405" s="16" t="s">
        <v>612</v>
      </c>
      <c r="C405" s="16" t="s">
        <v>11</v>
      </c>
      <c r="D405" s="16"/>
      <c r="E405" s="16">
        <v>114.05</v>
      </c>
      <c r="F405" s="16">
        <v>788.1</v>
      </c>
      <c r="G405" s="16" t="str">
        <f>_xlfn.DISPIMG("ID_F11FEEC449A347E1840CC6B91CE2803A",1)</f>
        <v>=DISPIMG("ID_F11FEEC449A347E1840CC6B91CE2803A",1)</v>
      </c>
      <c r="H405" s="16" t="s">
        <v>130</v>
      </c>
      <c r="I405" s="9" t="s">
        <v>613</v>
      </c>
      <c r="J405" s="16" t="s">
        <v>482</v>
      </c>
    </row>
    <row r="406" s="21" customFormat="1" ht="186.65" spans="1:10">
      <c r="A406" s="38">
        <v>177</v>
      </c>
      <c r="B406" s="16" t="s">
        <v>349</v>
      </c>
      <c r="C406" s="16" t="s">
        <v>11</v>
      </c>
      <c r="D406" s="16"/>
      <c r="E406" s="16">
        <v>123</v>
      </c>
      <c r="F406" s="16">
        <v>685.11</v>
      </c>
      <c r="G406" s="16" t="str">
        <f>_xlfn.DISPIMG("ID_964E7351B1884CA792878D59F966F4FC",1)</f>
        <v>=DISPIMG("ID_964E7351B1884CA792878D59F966F4FC",1)</v>
      </c>
      <c r="H406" s="16" t="s">
        <v>130</v>
      </c>
      <c r="I406" s="9" t="s">
        <v>350</v>
      </c>
      <c r="J406" s="16" t="s">
        <v>614</v>
      </c>
    </row>
    <row r="407" s="21" customFormat="1" ht="167.25" spans="1:10">
      <c r="A407" s="38">
        <v>178</v>
      </c>
      <c r="B407" s="16" t="s">
        <v>615</v>
      </c>
      <c r="C407" s="16" t="s">
        <v>11</v>
      </c>
      <c r="D407" s="16"/>
      <c r="E407" s="16">
        <v>15.6</v>
      </c>
      <c r="F407" s="16">
        <v>624</v>
      </c>
      <c r="G407" s="16" t="str">
        <f>_xlfn.DISPIMG("ID_96E3E56D28BA4599BC367CF4D2F591FA",1)</f>
        <v>=DISPIMG("ID_96E3E56D28BA4599BC367CF4D2F591FA",1)</v>
      </c>
      <c r="H407" s="16" t="s">
        <v>130</v>
      </c>
      <c r="I407" s="9" t="s">
        <v>616</v>
      </c>
      <c r="J407" s="16" t="s">
        <v>482</v>
      </c>
    </row>
    <row r="408" s="21" customFormat="1" ht="164.2" spans="1:10">
      <c r="A408" s="38">
        <v>179</v>
      </c>
      <c r="B408" s="16" t="s">
        <v>239</v>
      </c>
      <c r="C408" s="16" t="s">
        <v>11</v>
      </c>
      <c r="D408" s="16"/>
      <c r="E408" s="16">
        <v>25.3</v>
      </c>
      <c r="F408" s="16">
        <v>607.2</v>
      </c>
      <c r="G408" s="16" t="str">
        <f>_xlfn.DISPIMG("ID_C7CFC0643BCE43F89E537758CD663AE0",1)</f>
        <v>=DISPIMG("ID_C7CFC0643BCE43F89E537758CD663AE0",1)</v>
      </c>
      <c r="H408" s="16" t="s">
        <v>130</v>
      </c>
      <c r="I408" s="9" t="s">
        <v>240</v>
      </c>
      <c r="J408" s="16" t="s">
        <v>482</v>
      </c>
    </row>
    <row r="409" s="21" customFormat="1" ht="180.6" spans="1:10">
      <c r="A409" s="38">
        <v>180</v>
      </c>
      <c r="B409" s="16" t="s">
        <v>617</v>
      </c>
      <c r="C409" s="16" t="s">
        <v>11</v>
      </c>
      <c r="D409" s="16"/>
      <c r="E409" s="16">
        <v>15</v>
      </c>
      <c r="F409" s="16">
        <v>550.5</v>
      </c>
      <c r="G409" s="16" t="str">
        <f>_xlfn.DISPIMG("ID_7991CDCA70024EA0865FEE9612A6D9A3",1)</f>
        <v>=DISPIMG("ID_7991CDCA70024EA0865FEE9612A6D9A3",1)</v>
      </c>
      <c r="H409" s="16" t="s">
        <v>130</v>
      </c>
      <c r="I409" s="9" t="s">
        <v>618</v>
      </c>
      <c r="J409" s="16" t="s">
        <v>482</v>
      </c>
    </row>
    <row r="410" s="21" customFormat="1" ht="122.25" spans="1:10">
      <c r="A410" s="38">
        <v>181</v>
      </c>
      <c r="B410" s="16" t="s">
        <v>243</v>
      </c>
      <c r="C410" s="16" t="s">
        <v>11</v>
      </c>
      <c r="D410" s="16"/>
      <c r="E410" s="16">
        <v>45.3</v>
      </c>
      <c r="F410" s="16">
        <v>469.77</v>
      </c>
      <c r="G410" s="16" t="str">
        <f>_xlfn.DISPIMG("ID_51FA0DAAAFA64CEE8D2E32AEE16E4221",1)</f>
        <v>=DISPIMG("ID_51FA0DAAAFA64CEE8D2E32AEE16E4221",1)</v>
      </c>
      <c r="H410" s="16" t="s">
        <v>130</v>
      </c>
      <c r="I410" s="9" t="s">
        <v>244</v>
      </c>
      <c r="J410" s="16" t="s">
        <v>482</v>
      </c>
    </row>
    <row r="411" s="21" customFormat="1" ht="154.35" spans="1:10">
      <c r="A411" s="38">
        <v>182</v>
      </c>
      <c r="B411" s="16" t="s">
        <v>313</v>
      </c>
      <c r="C411" s="16" t="s">
        <v>11</v>
      </c>
      <c r="D411" s="16"/>
      <c r="E411" s="16">
        <v>26.45</v>
      </c>
      <c r="F411" s="16">
        <v>449.65</v>
      </c>
      <c r="G411" s="16" t="str">
        <f>_xlfn.DISPIMG("ID_EA5B1D349A93421BAA69F5869B3F8347",1)</f>
        <v>=DISPIMG("ID_EA5B1D349A93421BAA69F5869B3F8347",1)</v>
      </c>
      <c r="H411" s="16" t="s">
        <v>130</v>
      </c>
      <c r="I411" s="9" t="s">
        <v>314</v>
      </c>
      <c r="J411" s="16" t="s">
        <v>482</v>
      </c>
    </row>
    <row r="412" s="21" customFormat="1" ht="94.5" spans="1:10">
      <c r="A412" s="38">
        <v>183</v>
      </c>
      <c r="B412" s="16" t="s">
        <v>204</v>
      </c>
      <c r="C412" s="16" t="s">
        <v>11</v>
      </c>
      <c r="D412" s="16"/>
      <c r="E412" s="16">
        <v>16.7</v>
      </c>
      <c r="F412" s="16">
        <v>416.83</v>
      </c>
      <c r="G412" s="16" t="str">
        <f>_xlfn.DISPIMG("ID_A46D071CA4B4489EBC014DB7F82A386A",1)</f>
        <v>=DISPIMG("ID_A46D071CA4B4489EBC014DB7F82A386A",1)</v>
      </c>
      <c r="H412" s="16" t="s">
        <v>130</v>
      </c>
      <c r="I412" s="9" t="s">
        <v>205</v>
      </c>
      <c r="J412" s="16" t="s">
        <v>482</v>
      </c>
    </row>
    <row r="413" s="21" customFormat="1" ht="213.85" spans="1:10">
      <c r="A413" s="38">
        <v>184</v>
      </c>
      <c r="B413" s="16" t="s">
        <v>619</v>
      </c>
      <c r="C413" s="16" t="s">
        <v>11</v>
      </c>
      <c r="D413" s="16"/>
      <c r="E413" s="16">
        <v>15.55</v>
      </c>
      <c r="F413" s="16">
        <v>328.41</v>
      </c>
      <c r="G413" s="16" t="str">
        <f>_xlfn.DISPIMG("ID_52E5AEFB09944330B5EB66CBFE1A4B54",1)</f>
        <v>=DISPIMG("ID_52E5AEFB09944330B5EB66CBFE1A4B54",1)</v>
      </c>
      <c r="H413" s="16" t="s">
        <v>130</v>
      </c>
      <c r="I413" s="9" t="s">
        <v>354</v>
      </c>
      <c r="J413" s="16" t="s">
        <v>482</v>
      </c>
    </row>
    <row r="414" s="21" customFormat="1" ht="213.75" spans="1:10">
      <c r="A414" s="38">
        <v>185</v>
      </c>
      <c r="B414" s="16" t="s">
        <v>194</v>
      </c>
      <c r="C414" s="16" t="s">
        <v>11</v>
      </c>
      <c r="D414" s="16"/>
      <c r="E414" s="16">
        <v>20</v>
      </c>
      <c r="F414" s="16">
        <v>228</v>
      </c>
      <c r="G414" s="16" t="str">
        <f>_xlfn.DISPIMG("ID_FC0ACBCBD9BA46F188A6842655330B1E",1)</f>
        <v>=DISPIMG("ID_FC0ACBCBD9BA46F188A6842655330B1E",1)</v>
      </c>
      <c r="H414" s="16" t="s">
        <v>130</v>
      </c>
      <c r="I414" s="9" t="s">
        <v>195</v>
      </c>
      <c r="J414" s="16" t="s">
        <v>620</v>
      </c>
    </row>
    <row r="415" s="21" customFormat="1" ht="148.5" spans="1:10">
      <c r="A415" s="38">
        <v>186</v>
      </c>
      <c r="B415" s="16" t="s">
        <v>159</v>
      </c>
      <c r="C415" s="16" t="s">
        <v>160</v>
      </c>
      <c r="D415" s="16" t="s">
        <v>621</v>
      </c>
      <c r="E415" s="16">
        <v>17</v>
      </c>
      <c r="F415" s="16">
        <v>221</v>
      </c>
      <c r="G415" s="16" t="str">
        <f>_xlfn.DISPIMG("ID_6465EC3084C84E00B65F5818D254BEE0",1)</f>
        <v>=DISPIMG("ID_6465EC3084C84E00B65F5818D254BEE0",1)</v>
      </c>
      <c r="H415" s="16" t="s">
        <v>130</v>
      </c>
      <c r="I415" s="9" t="s">
        <v>161</v>
      </c>
      <c r="J415" s="16" t="s">
        <v>482</v>
      </c>
    </row>
    <row r="416" s="21" customFormat="1" ht="196.5" spans="1:10">
      <c r="A416" s="38">
        <v>187</v>
      </c>
      <c r="B416" s="16" t="s">
        <v>298</v>
      </c>
      <c r="C416" s="16" t="s">
        <v>11</v>
      </c>
      <c r="D416" s="16"/>
      <c r="E416" s="16">
        <v>10.35</v>
      </c>
      <c r="F416" s="16">
        <v>186.3</v>
      </c>
      <c r="G416" s="16" t="str">
        <f>_xlfn.DISPIMG("ID_EE1229F48E8E4E78BD1763FBC47F0B1E",1)</f>
        <v>=DISPIMG("ID_EE1229F48E8E4E78BD1763FBC47F0B1E",1)</v>
      </c>
      <c r="H416" s="16" t="s">
        <v>130</v>
      </c>
      <c r="I416" s="9" t="s">
        <v>299</v>
      </c>
      <c r="J416" s="16" t="s">
        <v>482</v>
      </c>
    </row>
    <row r="417" s="21" customFormat="1" ht="137.25" spans="1:10">
      <c r="A417" s="38">
        <v>188</v>
      </c>
      <c r="B417" s="16" t="s">
        <v>180</v>
      </c>
      <c r="C417" s="16" t="s">
        <v>11</v>
      </c>
      <c r="D417" s="16"/>
      <c r="E417" s="16">
        <v>11</v>
      </c>
      <c r="F417" s="16">
        <v>158.4</v>
      </c>
      <c r="G417" s="16" t="str">
        <f>_xlfn.DISPIMG("ID_FA179FDB72314BE0A5BF72152D48A080",1)</f>
        <v>=DISPIMG("ID_FA179FDB72314BE0A5BF72152D48A080",1)</v>
      </c>
      <c r="H417" s="16" t="s">
        <v>130</v>
      </c>
      <c r="I417" s="9" t="s">
        <v>181</v>
      </c>
      <c r="J417" s="16" t="s">
        <v>482</v>
      </c>
    </row>
    <row r="418" s="21" customFormat="1" ht="132.65" spans="1:10">
      <c r="A418" s="38">
        <v>189</v>
      </c>
      <c r="B418" s="16" t="s">
        <v>214</v>
      </c>
      <c r="C418" s="16" t="s">
        <v>11</v>
      </c>
      <c r="D418" s="16"/>
      <c r="E418" s="16">
        <v>10</v>
      </c>
      <c r="F418" s="16">
        <v>123.6</v>
      </c>
      <c r="G418" s="16" t="str">
        <f>_xlfn.DISPIMG("ID_49AFD21B5CF5436DB14CFA40E1BF1358",1)</f>
        <v>=DISPIMG("ID_49AFD21B5CF5436DB14CFA40E1BF1358",1)</v>
      </c>
      <c r="H418" s="16" t="s">
        <v>130</v>
      </c>
      <c r="I418" s="9" t="s">
        <v>215</v>
      </c>
      <c r="J418" s="16" t="s">
        <v>482</v>
      </c>
    </row>
    <row r="419" s="21" customFormat="1" ht="112.5" spans="1:10">
      <c r="A419" s="38">
        <v>190</v>
      </c>
      <c r="B419" s="16" t="s">
        <v>228</v>
      </c>
      <c r="C419" s="16" t="s">
        <v>11</v>
      </c>
      <c r="D419" s="16"/>
      <c r="E419" s="16">
        <v>6.4</v>
      </c>
      <c r="F419" s="16">
        <v>122.88</v>
      </c>
      <c r="G419" s="16" t="str">
        <f>_xlfn.DISPIMG("ID_D986C0752506491494F903E2A62FDE18",1)</f>
        <v>=DISPIMG("ID_D986C0752506491494F903E2A62FDE18",1)</v>
      </c>
      <c r="H419" s="16" t="s">
        <v>130</v>
      </c>
      <c r="I419" s="9" t="s">
        <v>229</v>
      </c>
      <c r="J419" s="16" t="s">
        <v>482</v>
      </c>
    </row>
    <row r="420" s="21" customFormat="1" ht="158.05" spans="1:10">
      <c r="A420" s="38">
        <v>191</v>
      </c>
      <c r="B420" s="16" t="s">
        <v>339</v>
      </c>
      <c r="C420" s="16" t="s">
        <v>11</v>
      </c>
      <c r="D420" s="16"/>
      <c r="E420" s="16">
        <v>0.9</v>
      </c>
      <c r="F420" s="16">
        <v>103.5</v>
      </c>
      <c r="G420" s="16" t="str">
        <f>_xlfn.DISPIMG("ID_459206DF02124EAAAD8E257A819A8C5A",1)</f>
        <v>=DISPIMG("ID_459206DF02124EAAAD8E257A819A8C5A",1)</v>
      </c>
      <c r="H420" s="16" t="s">
        <v>130</v>
      </c>
      <c r="I420" s="9" t="s">
        <v>340</v>
      </c>
      <c r="J420" s="16" t="s">
        <v>482</v>
      </c>
    </row>
    <row r="421" s="21" customFormat="1" ht="163.95" spans="1:10">
      <c r="A421" s="38">
        <v>192</v>
      </c>
      <c r="B421" s="16" t="s">
        <v>622</v>
      </c>
      <c r="C421" s="16" t="s">
        <v>11</v>
      </c>
      <c r="D421" s="16"/>
      <c r="E421" s="16">
        <v>11</v>
      </c>
      <c r="F421" s="16">
        <v>103.4</v>
      </c>
      <c r="G421" s="16" t="str">
        <f>_xlfn.DISPIMG("ID_D62512C4A15D4ED2B175AA0C85A656D7",1)</f>
        <v>=DISPIMG("ID_D62512C4A15D4ED2B175AA0C85A656D7",1)</v>
      </c>
      <c r="H421" s="16" t="s">
        <v>130</v>
      </c>
      <c r="I421" s="9" t="s">
        <v>623</v>
      </c>
      <c r="J421" s="16" t="s">
        <v>624</v>
      </c>
    </row>
    <row r="422" s="21" customFormat="1" ht="136.5" spans="1:10">
      <c r="A422" s="38">
        <v>193</v>
      </c>
      <c r="B422" s="16" t="s">
        <v>625</v>
      </c>
      <c r="C422" s="16" t="s">
        <v>11</v>
      </c>
      <c r="D422" s="16"/>
      <c r="E422" s="16">
        <v>7.65</v>
      </c>
      <c r="F422" s="16">
        <v>88.12</v>
      </c>
      <c r="G422" s="16" t="str">
        <f>_xlfn.DISPIMG("ID_83C07190B7E5432E8CB97BF4F3ACB9F3",1)</f>
        <v>=DISPIMG("ID_83C07190B7E5432E8CB97BF4F3ACB9F3",1)</v>
      </c>
      <c r="H422" s="16" t="s">
        <v>130</v>
      </c>
      <c r="I422" s="9" t="s">
        <v>626</v>
      </c>
      <c r="J422" s="16" t="s">
        <v>482</v>
      </c>
    </row>
    <row r="423" s="21" customFormat="1" ht="145.15" spans="1:10">
      <c r="A423" s="38">
        <v>194</v>
      </c>
      <c r="B423" s="16" t="s">
        <v>627</v>
      </c>
      <c r="C423" s="16" t="s">
        <v>11</v>
      </c>
      <c r="D423" s="16"/>
      <c r="E423" s="16">
        <v>7.9</v>
      </c>
      <c r="F423" s="16">
        <v>81.93</v>
      </c>
      <c r="G423" s="16" t="str">
        <f>_xlfn.DISPIMG("ID_EB923FFC2B354A758A7BD8C2D8432B39",1)</f>
        <v>=DISPIMG("ID_EB923FFC2B354A758A7BD8C2D8432B39",1)</v>
      </c>
      <c r="H423" s="16" t="s">
        <v>130</v>
      </c>
      <c r="I423" s="9" t="s">
        <v>628</v>
      </c>
      <c r="J423" s="16" t="s">
        <v>482</v>
      </c>
    </row>
    <row r="424" s="21" customFormat="1" ht="201.45" spans="1:10">
      <c r="A424" s="38">
        <v>195</v>
      </c>
      <c r="B424" s="16" t="s">
        <v>325</v>
      </c>
      <c r="C424" s="16" t="s">
        <v>11</v>
      </c>
      <c r="D424" s="16"/>
      <c r="E424" s="16">
        <v>7</v>
      </c>
      <c r="F424" s="16">
        <v>77</v>
      </c>
      <c r="G424" s="16" t="str">
        <f>_xlfn.DISPIMG("ID_2594F5C9325E42AFABF2F5E42F71D2A3",1)</f>
        <v>=DISPIMG("ID_2594F5C9325E42AFABF2F5E42F71D2A3",1)</v>
      </c>
      <c r="H424" s="16" t="s">
        <v>130</v>
      </c>
      <c r="I424" s="9" t="s">
        <v>191</v>
      </c>
      <c r="J424" s="16" t="s">
        <v>482</v>
      </c>
    </row>
    <row r="425" s="21" customFormat="1" ht="209.05" spans="1:10">
      <c r="A425" s="38">
        <v>196</v>
      </c>
      <c r="B425" s="16" t="s">
        <v>629</v>
      </c>
      <c r="C425" s="16" t="s">
        <v>11</v>
      </c>
      <c r="D425" s="16"/>
      <c r="E425" s="16">
        <v>7</v>
      </c>
      <c r="F425" s="16">
        <v>64.54</v>
      </c>
      <c r="G425" s="16" t="str">
        <f>_xlfn.DISPIMG("ID_049E1CE48E254D41B4A1AA83DF628572",1)</f>
        <v>=DISPIMG("ID_049E1CE48E254D41B4A1AA83DF628572",1)</v>
      </c>
      <c r="H425" s="16" t="s">
        <v>130</v>
      </c>
      <c r="I425" s="9" t="s">
        <v>630</v>
      </c>
      <c r="J425" s="16" t="s">
        <v>631</v>
      </c>
    </row>
    <row r="426" s="21" customFormat="1" ht="112.5" spans="1:10">
      <c r="A426" s="38">
        <v>197</v>
      </c>
      <c r="B426" s="16" t="s">
        <v>237</v>
      </c>
      <c r="C426" s="16" t="s">
        <v>11</v>
      </c>
      <c r="D426" s="16"/>
      <c r="E426" s="16">
        <v>1</v>
      </c>
      <c r="F426" s="16">
        <v>60</v>
      </c>
      <c r="G426" s="16" t="str">
        <f>_xlfn.DISPIMG("ID_71693E6BAB8940C2B47FFBF073055907",1)</f>
        <v>=DISPIMG("ID_71693E6BAB8940C2B47FFBF073055907",1)</v>
      </c>
      <c r="H426" s="16" t="s">
        <v>130</v>
      </c>
      <c r="I426" s="9" t="s">
        <v>238</v>
      </c>
      <c r="J426" s="16" t="s">
        <v>482</v>
      </c>
    </row>
    <row r="427" s="21" customFormat="1" ht="149" spans="1:10">
      <c r="A427" s="38">
        <v>198</v>
      </c>
      <c r="B427" s="16" t="s">
        <v>155</v>
      </c>
      <c r="C427" s="16" t="s">
        <v>11</v>
      </c>
      <c r="D427" s="16"/>
      <c r="E427" s="16">
        <v>3.5</v>
      </c>
      <c r="F427" s="16">
        <v>29.75</v>
      </c>
      <c r="G427" s="16" t="str">
        <f>_xlfn.DISPIMG("ID_DC19B8238D71430988170D0BB321CC0B",1)</f>
        <v>=DISPIMG("ID_DC19B8238D71430988170D0BB321CC0B",1)</v>
      </c>
      <c r="H427" s="16" t="s">
        <v>130</v>
      </c>
      <c r="I427" s="9" t="s">
        <v>156</v>
      </c>
      <c r="J427" s="16" t="s">
        <v>482</v>
      </c>
    </row>
    <row r="428" s="21" customFormat="1" ht="146.25" spans="1:10">
      <c r="A428" s="38">
        <v>199</v>
      </c>
      <c r="B428" s="16" t="s">
        <v>176</v>
      </c>
      <c r="C428" s="16" t="s">
        <v>11</v>
      </c>
      <c r="D428" s="16"/>
      <c r="E428" s="16">
        <v>3</v>
      </c>
      <c r="F428" s="16">
        <v>28.8</v>
      </c>
      <c r="G428" s="16" t="str">
        <f>_xlfn.DISPIMG("ID_803C00F92A424840B577A09D369EC6E4",1)</f>
        <v>=DISPIMG("ID_803C00F92A424840B577A09D369EC6E4",1)</v>
      </c>
      <c r="H428" s="16" t="s">
        <v>130</v>
      </c>
      <c r="I428" s="9" t="s">
        <v>177</v>
      </c>
      <c r="J428" s="16" t="s">
        <v>482</v>
      </c>
    </row>
    <row r="429" s="21" customFormat="1" ht="221.3" spans="1:10">
      <c r="A429" s="38">
        <v>200</v>
      </c>
      <c r="B429" s="16" t="s">
        <v>632</v>
      </c>
      <c r="C429" s="16" t="s">
        <v>11</v>
      </c>
      <c r="D429" s="16"/>
      <c r="E429" s="16">
        <v>3</v>
      </c>
      <c r="F429" s="16">
        <v>28.66</v>
      </c>
      <c r="G429" s="16" t="str">
        <f>_xlfn.DISPIMG("ID_F738B49764A345A39802666503E713D7",1)</f>
        <v>=DISPIMG("ID_F738B49764A345A39802666503E713D7",1)</v>
      </c>
      <c r="H429" s="16" t="s">
        <v>130</v>
      </c>
      <c r="I429" s="9" t="s">
        <v>633</v>
      </c>
      <c r="J429" s="16" t="s">
        <v>482</v>
      </c>
    </row>
    <row r="430" s="21" customFormat="1" ht="195.4" spans="1:10">
      <c r="A430" s="38">
        <v>201</v>
      </c>
      <c r="B430" s="16" t="s">
        <v>136</v>
      </c>
      <c r="C430" s="16" t="s">
        <v>11</v>
      </c>
      <c r="D430" s="16"/>
      <c r="E430" s="16">
        <v>0.1</v>
      </c>
      <c r="F430" s="16">
        <v>24.77</v>
      </c>
      <c r="G430" s="16" t="str">
        <f>_xlfn.DISPIMG("ID_936421A9FF2B4BE788FBB7FD8FA87257",1)</f>
        <v>=DISPIMG("ID_936421A9FF2B4BE788FBB7FD8FA87257",1)</v>
      </c>
      <c r="H430" s="16" t="s">
        <v>130</v>
      </c>
      <c r="I430" s="9" t="s">
        <v>377</v>
      </c>
      <c r="J430" s="16" t="s">
        <v>482</v>
      </c>
    </row>
    <row r="431" s="21" customFormat="1" ht="118.2" spans="1:10">
      <c r="A431" s="38">
        <v>202</v>
      </c>
      <c r="B431" s="16" t="s">
        <v>634</v>
      </c>
      <c r="C431" s="16" t="s">
        <v>11</v>
      </c>
      <c r="D431" s="35"/>
      <c r="E431" s="16">
        <v>0.1</v>
      </c>
      <c r="F431" s="16">
        <v>24.77</v>
      </c>
      <c r="G431" s="16" t="str">
        <f>_xlfn.DISPIMG("ID_258E2BC5A7934F4F911DFDE17274811F",1)</f>
        <v>=DISPIMG("ID_258E2BC5A7934F4F911DFDE17274811F",1)</v>
      </c>
      <c r="H431" s="16" t="s">
        <v>130</v>
      </c>
      <c r="I431" s="9" t="s">
        <v>377</v>
      </c>
      <c r="J431" s="16" t="s">
        <v>482</v>
      </c>
    </row>
    <row r="432" s="21" customFormat="1" ht="196" spans="1:10">
      <c r="A432" s="38">
        <v>203</v>
      </c>
      <c r="B432" s="16" t="s">
        <v>635</v>
      </c>
      <c r="C432" s="16" t="s">
        <v>11</v>
      </c>
      <c r="D432" s="16"/>
      <c r="E432" s="16">
        <v>1</v>
      </c>
      <c r="F432" s="16">
        <v>22.08</v>
      </c>
      <c r="G432" s="16" t="str">
        <f>_xlfn.DISPIMG("ID_ADAE6F435182446495D44C5558643E6E",1)</f>
        <v>=DISPIMG("ID_ADAE6F435182446495D44C5558643E6E",1)</v>
      </c>
      <c r="H432" s="16" t="s">
        <v>130</v>
      </c>
      <c r="I432" s="9" t="s">
        <v>636</v>
      </c>
      <c r="J432" s="16" t="s">
        <v>482</v>
      </c>
    </row>
    <row r="433" s="21" customFormat="1" ht="141" spans="1:10">
      <c r="A433" s="38">
        <v>204</v>
      </c>
      <c r="B433" s="16" t="s">
        <v>364</v>
      </c>
      <c r="C433" s="16" t="s">
        <v>11</v>
      </c>
      <c r="D433" s="16"/>
      <c r="E433" s="16">
        <v>2</v>
      </c>
      <c r="F433" s="16">
        <v>20.18</v>
      </c>
      <c r="G433" s="16" t="str">
        <f>_xlfn.DISPIMG("ID_B916D3A17C1E47A99E636600497B4B36",1)</f>
        <v>=DISPIMG("ID_B916D3A17C1E47A99E636600497B4B36",1)</v>
      </c>
      <c r="H433" s="16" t="s">
        <v>130</v>
      </c>
      <c r="I433" s="9" t="s">
        <v>637</v>
      </c>
      <c r="J433" s="16" t="s">
        <v>482</v>
      </c>
    </row>
    <row r="434" s="21" customFormat="1" ht="215.45" spans="1:10">
      <c r="A434" s="38">
        <v>205</v>
      </c>
      <c r="B434" s="16" t="s">
        <v>288</v>
      </c>
      <c r="C434" s="16" t="s">
        <v>11</v>
      </c>
      <c r="D434" s="16"/>
      <c r="E434" s="16">
        <v>0.2</v>
      </c>
      <c r="F434" s="16">
        <v>15.2</v>
      </c>
      <c r="G434" s="16" t="str">
        <f>_xlfn.DISPIMG("ID_DAEF7384F9CF4B9EB97C740F2FA28A72",1)</f>
        <v>=DISPIMG("ID_DAEF7384F9CF4B9EB97C740F2FA28A72",1)</v>
      </c>
      <c r="H434" s="16" t="s">
        <v>130</v>
      </c>
      <c r="I434" s="9" t="s">
        <v>289</v>
      </c>
      <c r="J434" s="16" t="s">
        <v>482</v>
      </c>
    </row>
    <row r="435" s="21" customFormat="1" ht="178.5" spans="1:10">
      <c r="A435" s="38">
        <v>206</v>
      </c>
      <c r="B435" s="16" t="s">
        <v>253</v>
      </c>
      <c r="C435" s="16" t="s">
        <v>11</v>
      </c>
      <c r="D435" s="16"/>
      <c r="E435" s="16">
        <v>1</v>
      </c>
      <c r="F435" s="16">
        <v>12.77</v>
      </c>
      <c r="G435" s="16" t="str">
        <f>_xlfn.DISPIMG("ID_5CC5C936540441768014E5A5E374F88E",1)</f>
        <v>=DISPIMG("ID_5CC5C936540441768014E5A5E374F88E",1)</v>
      </c>
      <c r="H435" s="16" t="s">
        <v>130</v>
      </c>
      <c r="I435" s="9" t="s">
        <v>254</v>
      </c>
      <c r="J435" s="16" t="s">
        <v>482</v>
      </c>
    </row>
    <row r="436" s="21" customFormat="1" ht="232.05" spans="1:10">
      <c r="A436" s="38">
        <v>207</v>
      </c>
      <c r="B436" s="16" t="s">
        <v>638</v>
      </c>
      <c r="C436" s="16" t="s">
        <v>11</v>
      </c>
      <c r="D436" s="16"/>
      <c r="E436" s="16">
        <v>1</v>
      </c>
      <c r="F436" s="16">
        <v>12</v>
      </c>
      <c r="G436" s="16" t="str">
        <f>_xlfn.DISPIMG("ID_FE4D04C49BC946D9903EF855536E83C9",1)</f>
        <v>=DISPIMG("ID_FE4D04C49BC946D9903EF855536E83C9",1)</v>
      </c>
      <c r="H436" s="16" t="s">
        <v>130</v>
      </c>
      <c r="I436" s="42" t="s">
        <v>639</v>
      </c>
      <c r="J436" s="16" t="s">
        <v>482</v>
      </c>
    </row>
    <row r="437" s="21" customFormat="1" ht="115.5" spans="1:10">
      <c r="A437" s="38">
        <v>208</v>
      </c>
      <c r="B437" s="16" t="s">
        <v>210</v>
      </c>
      <c r="C437" s="16" t="s">
        <v>11</v>
      </c>
      <c r="D437" s="16"/>
      <c r="E437" s="16">
        <v>0.5</v>
      </c>
      <c r="F437" s="16">
        <v>11.52</v>
      </c>
      <c r="G437" s="16" t="str">
        <f>_xlfn.DISPIMG("ID_0D04673782C04AA39563C573EBF6D856",1)</f>
        <v>=DISPIMG("ID_0D04673782C04AA39563C573EBF6D856",1)</v>
      </c>
      <c r="H437" s="16" t="s">
        <v>130</v>
      </c>
      <c r="I437" s="9" t="s">
        <v>211</v>
      </c>
      <c r="J437" s="16" t="s">
        <v>482</v>
      </c>
    </row>
    <row r="438" s="21" customFormat="1" ht="257.35" spans="1:10">
      <c r="A438" s="38">
        <v>209</v>
      </c>
      <c r="B438" s="16" t="s">
        <v>400</v>
      </c>
      <c r="C438" s="16" t="s">
        <v>11</v>
      </c>
      <c r="D438" s="16"/>
      <c r="E438" s="16">
        <v>6218.2</v>
      </c>
      <c r="F438" s="16">
        <v>361463.95</v>
      </c>
      <c r="G438" s="16" t="str">
        <f>_xlfn.DISPIMG("ID_00AAF5423AD1464280B119C2CFF1C77A",1)</f>
        <v>=DISPIMG("ID_00AAF5423AD1464280B119C2CFF1C77A",1)</v>
      </c>
      <c r="H438" s="16" t="s">
        <v>382</v>
      </c>
      <c r="I438" s="9" t="s">
        <v>402</v>
      </c>
      <c r="J438" s="16" t="s">
        <v>640</v>
      </c>
    </row>
    <row r="439" s="21" customFormat="1" ht="254.25" spans="1:10">
      <c r="A439" s="38">
        <v>210</v>
      </c>
      <c r="B439" s="16" t="s">
        <v>641</v>
      </c>
      <c r="C439" s="16" t="s">
        <v>11</v>
      </c>
      <c r="D439" s="16"/>
      <c r="E439" s="16">
        <v>16684.6</v>
      </c>
      <c r="F439" s="16">
        <v>283475.92</v>
      </c>
      <c r="G439" s="16" t="str">
        <f>_xlfn.DISPIMG("ID_45C62EB2D43940D8B46A304652AE48AE",1)</f>
        <v>=DISPIMG("ID_45C62EB2D43940D8B46A304652AE48AE",1)</v>
      </c>
      <c r="H439" s="16" t="s">
        <v>382</v>
      </c>
      <c r="I439" s="9" t="s">
        <v>642</v>
      </c>
      <c r="J439" s="16" t="s">
        <v>643</v>
      </c>
    </row>
    <row r="440" s="21" customFormat="1" ht="223.65" spans="1:10">
      <c r="A440" s="38">
        <v>211</v>
      </c>
      <c r="B440" s="16" t="s">
        <v>644</v>
      </c>
      <c r="C440" s="16" t="s">
        <v>11</v>
      </c>
      <c r="D440" s="16"/>
      <c r="E440" s="16">
        <v>2913.05</v>
      </c>
      <c r="F440" s="16">
        <v>52581.88</v>
      </c>
      <c r="G440" s="16" t="str">
        <f>_xlfn.DISPIMG("ID_53E487C8CC6B44A393E6B34225A7501E",1)</f>
        <v>=DISPIMG("ID_53E487C8CC6B44A393E6B34225A7501E",1)</v>
      </c>
      <c r="H440" s="16" t="s">
        <v>382</v>
      </c>
      <c r="I440" s="9" t="s">
        <v>645</v>
      </c>
      <c r="J440" s="16" t="s">
        <v>646</v>
      </c>
    </row>
    <row r="441" s="21" customFormat="1" ht="136.2" spans="1:10">
      <c r="A441" s="38">
        <v>212</v>
      </c>
      <c r="B441" s="16" t="s">
        <v>647</v>
      </c>
      <c r="C441" s="16" t="s">
        <v>11</v>
      </c>
      <c r="D441" s="16"/>
      <c r="E441" s="16">
        <v>2445</v>
      </c>
      <c r="F441" s="16">
        <v>48832.69</v>
      </c>
      <c r="G441" s="16" t="str">
        <f>_xlfn.DISPIMG("ID_2DB45206C3554D3597BDDC8F222DC13F",1)</f>
        <v>=DISPIMG("ID_2DB45206C3554D3597BDDC8F222DC13F",1)</v>
      </c>
      <c r="H441" s="16" t="s">
        <v>382</v>
      </c>
      <c r="I441" s="9" t="s">
        <v>648</v>
      </c>
      <c r="J441" s="16" t="s">
        <v>649</v>
      </c>
    </row>
    <row r="442" s="21" customFormat="1" ht="258.75" spans="1:10">
      <c r="A442" s="38">
        <v>213</v>
      </c>
      <c r="B442" s="16" t="s">
        <v>650</v>
      </c>
      <c r="C442" s="16" t="s">
        <v>11</v>
      </c>
      <c r="D442" s="16"/>
      <c r="E442" s="16">
        <v>896.8</v>
      </c>
      <c r="F442" s="16">
        <v>45937.42</v>
      </c>
      <c r="G442" s="16" t="str">
        <f>_xlfn.DISPIMG("ID_B70094E87EF1410E8EF1C6E5F1660F4B",1)</f>
        <v>=DISPIMG("ID_B70094E87EF1410E8EF1C6E5F1660F4B",1)</v>
      </c>
      <c r="H442" s="16" t="s">
        <v>382</v>
      </c>
      <c r="I442" s="9" t="s">
        <v>651</v>
      </c>
      <c r="J442" s="16" t="s">
        <v>652</v>
      </c>
    </row>
    <row r="443" s="21" customFormat="1" ht="220.2" spans="1:10">
      <c r="A443" s="38">
        <v>214</v>
      </c>
      <c r="B443" s="16" t="s">
        <v>397</v>
      </c>
      <c r="C443" s="16" t="s">
        <v>11</v>
      </c>
      <c r="D443" s="16"/>
      <c r="E443" s="16">
        <v>655.9</v>
      </c>
      <c r="F443" s="16">
        <v>40436.35</v>
      </c>
      <c r="G443" s="16" t="str">
        <f>_xlfn.DISPIMG("ID_88FC1AE82C2F4726A95A17D5D5744504",1)</f>
        <v>=DISPIMG("ID_88FC1AE82C2F4726A95A17D5D5744504",1)</v>
      </c>
      <c r="H443" s="16" t="s">
        <v>382</v>
      </c>
      <c r="I443" s="9" t="s">
        <v>399</v>
      </c>
      <c r="J443" s="16" t="s">
        <v>653</v>
      </c>
    </row>
    <row r="444" s="21" customFormat="1" ht="84" spans="1:10">
      <c r="A444" s="38">
        <v>215</v>
      </c>
      <c r="B444" s="16" t="s">
        <v>412</v>
      </c>
      <c r="C444" s="16" t="s">
        <v>11</v>
      </c>
      <c r="D444" s="16"/>
      <c r="E444" s="16">
        <v>1264.7</v>
      </c>
      <c r="F444" s="16">
        <v>33013.08</v>
      </c>
      <c r="G444" s="16" t="str">
        <f>_xlfn.DISPIMG("ID_614E9E4EA2454A5E86858F49135BB830",1)</f>
        <v>=DISPIMG("ID_614E9E4EA2454A5E86858F49135BB830",1)</v>
      </c>
      <c r="H444" s="16" t="s">
        <v>382</v>
      </c>
      <c r="I444" s="9" t="s">
        <v>388</v>
      </c>
      <c r="J444" s="16" t="s">
        <v>654</v>
      </c>
    </row>
    <row r="445" s="21" customFormat="1" ht="215.85" spans="1:10">
      <c r="A445" s="38">
        <v>216</v>
      </c>
      <c r="B445" s="16" t="s">
        <v>409</v>
      </c>
      <c r="C445" s="16" t="s">
        <v>11</v>
      </c>
      <c r="D445" s="16"/>
      <c r="E445" s="16">
        <v>634.9</v>
      </c>
      <c r="F445" s="16">
        <v>32791.11</v>
      </c>
      <c r="G445" s="16" t="str">
        <f>_xlfn.DISPIMG("ID_81AA9F8595F1478BB2C99006808C97C8",1)</f>
        <v>=DISPIMG("ID_81AA9F8595F1478BB2C99006808C97C8",1)</v>
      </c>
      <c r="H445" s="16" t="s">
        <v>382</v>
      </c>
      <c r="I445" s="9" t="s">
        <v>411</v>
      </c>
      <c r="J445" s="16" t="s">
        <v>652</v>
      </c>
    </row>
    <row r="446" s="21" customFormat="1" ht="212.5" spans="1:10">
      <c r="A446" s="38">
        <v>217</v>
      </c>
      <c r="B446" s="16" t="s">
        <v>415</v>
      </c>
      <c r="C446" s="16" t="s">
        <v>11</v>
      </c>
      <c r="D446" s="16"/>
      <c r="E446" s="16">
        <v>597</v>
      </c>
      <c r="F446" s="16">
        <v>28346.71</v>
      </c>
      <c r="G446" s="16" t="str">
        <f>_xlfn.DISPIMG("ID_B1D8DB8818064A8EB1EAF6A40AFC8EE6",1)</f>
        <v>=DISPIMG("ID_B1D8DB8818064A8EB1EAF6A40AFC8EE6",1)</v>
      </c>
      <c r="H446" s="16" t="s">
        <v>382</v>
      </c>
      <c r="I446" s="9" t="s">
        <v>416</v>
      </c>
      <c r="J446" s="16" t="s">
        <v>482</v>
      </c>
    </row>
    <row r="447" s="21" customFormat="1" ht="278.15" spans="1:10">
      <c r="A447" s="38">
        <v>218</v>
      </c>
      <c r="B447" s="16" t="s">
        <v>655</v>
      </c>
      <c r="C447" s="16" t="s">
        <v>11</v>
      </c>
      <c r="D447" s="16"/>
      <c r="E447" s="16">
        <v>342.25</v>
      </c>
      <c r="F447" s="16">
        <v>23211.41</v>
      </c>
      <c r="G447" s="16" t="str">
        <f>_xlfn.DISPIMG("ID_95FFBE62C6A24A6DBF8A003550755B1E",1)</f>
        <v>=DISPIMG("ID_95FFBE62C6A24A6DBF8A003550755B1E",1)</v>
      </c>
      <c r="H447" s="16" t="s">
        <v>382</v>
      </c>
      <c r="I447" s="9" t="s">
        <v>656</v>
      </c>
      <c r="J447" s="16" t="s">
        <v>513</v>
      </c>
    </row>
    <row r="448" s="21" customFormat="1" ht="135.45" spans="1:10">
      <c r="A448" s="38">
        <v>219</v>
      </c>
      <c r="B448" s="16" t="s">
        <v>657</v>
      </c>
      <c r="C448" s="16" t="s">
        <v>11</v>
      </c>
      <c r="D448" s="16"/>
      <c r="E448" s="16">
        <v>963.55</v>
      </c>
      <c r="F448" s="16">
        <v>22103.87</v>
      </c>
      <c r="G448" s="16" t="str">
        <f>_xlfn.DISPIMG("ID_29F230E0AAE6464288DBEDEB3A98A688",1)</f>
        <v>=DISPIMG("ID_29F230E0AAE6464288DBEDEB3A98A688",1)</v>
      </c>
      <c r="H448" s="16" t="s">
        <v>382</v>
      </c>
      <c r="I448" s="9" t="s">
        <v>658</v>
      </c>
      <c r="J448" s="16" t="s">
        <v>654</v>
      </c>
    </row>
    <row r="449" s="21" customFormat="1" ht="200.25" spans="1:10">
      <c r="A449" s="38">
        <v>220</v>
      </c>
      <c r="B449" s="16" t="s">
        <v>659</v>
      </c>
      <c r="C449" s="16" t="s">
        <v>11</v>
      </c>
      <c r="D449" s="16"/>
      <c r="E449" s="16">
        <v>215.6</v>
      </c>
      <c r="F449" s="16">
        <v>15646.09</v>
      </c>
      <c r="G449" s="16" t="str">
        <f>_xlfn.DISPIMG("ID_7BBDE209DF6D406DA21F650BFE3E2059",1)</f>
        <v>=DISPIMG("ID_7BBDE209DF6D406DA21F650BFE3E2059",1)</v>
      </c>
      <c r="H449" s="16" t="s">
        <v>382</v>
      </c>
      <c r="I449" s="9" t="s">
        <v>660</v>
      </c>
      <c r="J449" s="16" t="s">
        <v>661</v>
      </c>
    </row>
    <row r="450" s="21" customFormat="1" ht="200.25" spans="1:10">
      <c r="A450" s="38"/>
      <c r="B450" s="16" t="s">
        <v>662</v>
      </c>
      <c r="C450" s="16" t="s">
        <v>11</v>
      </c>
      <c r="D450" s="16"/>
      <c r="E450" s="16">
        <v>1</v>
      </c>
      <c r="F450" s="16"/>
      <c r="G450" s="16" t="str">
        <f>_xlfn.DISPIMG("ID_7BBDE209DF6D406DA21F650BFE3E2059",1)</f>
        <v>=DISPIMG("ID_7BBDE209DF6D406DA21F650BFE3E2059",1)</v>
      </c>
      <c r="H450" s="16" t="s">
        <v>382</v>
      </c>
      <c r="I450" s="9" t="s">
        <v>660</v>
      </c>
      <c r="J450" s="16" t="s">
        <v>663</v>
      </c>
    </row>
    <row r="451" s="21" customFormat="1" ht="187.4" spans="1:10">
      <c r="A451" s="38">
        <v>227</v>
      </c>
      <c r="B451" s="16" t="s">
        <v>391</v>
      </c>
      <c r="C451" s="16" t="s">
        <v>11</v>
      </c>
      <c r="D451" s="16"/>
      <c r="E451" s="16">
        <v>208.56</v>
      </c>
      <c r="F451" s="16">
        <v>15306.27</v>
      </c>
      <c r="G451" s="16" t="str">
        <f>_xlfn.DISPIMG("ID_7ED3A02EB70546DA8E73E7A30B0BC836",1)</f>
        <v>=DISPIMG("ID_7ED3A02EB70546DA8E73E7A30B0BC836",1)</v>
      </c>
      <c r="H451" s="16" t="s">
        <v>382</v>
      </c>
      <c r="I451" s="9" t="s">
        <v>393</v>
      </c>
      <c r="J451" s="16" t="s">
        <v>664</v>
      </c>
    </row>
    <row r="452" s="21" customFormat="1" ht="180" spans="1:10">
      <c r="A452" s="38">
        <v>250</v>
      </c>
      <c r="B452" s="16" t="s">
        <v>665</v>
      </c>
      <c r="C452" s="16" t="s">
        <v>11</v>
      </c>
      <c r="D452" s="16"/>
      <c r="E452" s="16">
        <v>368.85</v>
      </c>
      <c r="F452" s="16">
        <v>12858.11</v>
      </c>
      <c r="G452" s="16" t="str">
        <f>_xlfn.DISPIMG("ID_CBAE4F1AC85844CCB7B05AE7DFBCD70D",1)</f>
        <v>=DISPIMG("ID_CBAE4F1AC85844CCB7B05AE7DFBCD70D",1)</v>
      </c>
      <c r="H452" s="16" t="s">
        <v>382</v>
      </c>
      <c r="I452" s="9" t="s">
        <v>666</v>
      </c>
      <c r="J452" s="16" t="s">
        <v>640</v>
      </c>
    </row>
    <row r="453" s="21" customFormat="1" ht="162.55" spans="1:10">
      <c r="A453" s="38">
        <v>230</v>
      </c>
      <c r="B453" s="16" t="s">
        <v>667</v>
      </c>
      <c r="C453" s="16" t="s">
        <v>11</v>
      </c>
      <c r="D453" s="16"/>
      <c r="E453" s="16">
        <v>793.5</v>
      </c>
      <c r="F453" s="16">
        <v>12577.21</v>
      </c>
      <c r="G453" s="16" t="str">
        <f>_xlfn.DISPIMG("ID_F584B94883494E0FBAB8D47FD78A00BE",1)</f>
        <v>=DISPIMG("ID_F584B94883494E0FBAB8D47FD78A00BE",1)</v>
      </c>
      <c r="H453" s="16" t="s">
        <v>382</v>
      </c>
      <c r="I453" s="9" t="s">
        <v>668</v>
      </c>
      <c r="J453" s="16" t="s">
        <v>482</v>
      </c>
    </row>
    <row r="454" s="21" customFormat="1" ht="233.3" spans="1:10">
      <c r="A454" s="38">
        <v>246</v>
      </c>
      <c r="B454" s="16" t="s">
        <v>406</v>
      </c>
      <c r="C454" s="16" t="s">
        <v>11</v>
      </c>
      <c r="D454" s="16"/>
      <c r="E454" s="16">
        <v>363.3</v>
      </c>
      <c r="F454" s="16">
        <v>12523.02</v>
      </c>
      <c r="G454" s="16" t="str">
        <f>_xlfn.DISPIMG("ID_4CC1515A175046F8A75F208CA8CF4764",1)</f>
        <v>=DISPIMG("ID_4CC1515A175046F8A75F208CA8CF4764",1)</v>
      </c>
      <c r="H454" s="16" t="s">
        <v>382</v>
      </c>
      <c r="I454" s="9" t="s">
        <v>408</v>
      </c>
      <c r="J454" s="16" t="s">
        <v>669</v>
      </c>
    </row>
    <row r="455" s="21" customFormat="1" ht="250.5" spans="1:10">
      <c r="A455" s="38">
        <v>216</v>
      </c>
      <c r="B455" s="16" t="s">
        <v>670</v>
      </c>
      <c r="C455" s="16" t="s">
        <v>11</v>
      </c>
      <c r="D455" s="16"/>
      <c r="E455" s="16">
        <v>361.5</v>
      </c>
      <c r="F455" s="16">
        <v>11781.25</v>
      </c>
      <c r="G455" s="16" t="str">
        <f>_xlfn.DISPIMG("ID_6A50154C1DDD42809EB23195437033DD",1)</f>
        <v>=DISPIMG("ID_6A50154C1DDD42809EB23195437033DD",1)</v>
      </c>
      <c r="H455" s="16" t="s">
        <v>382</v>
      </c>
      <c r="I455" s="9" t="s">
        <v>668</v>
      </c>
      <c r="J455" s="16" t="s">
        <v>482</v>
      </c>
    </row>
    <row r="456" s="21" customFormat="1" ht="199" spans="1:10">
      <c r="A456" s="38">
        <v>225</v>
      </c>
      <c r="B456" s="16" t="s">
        <v>389</v>
      </c>
      <c r="C456" s="16" t="s">
        <v>11</v>
      </c>
      <c r="D456" s="16"/>
      <c r="E456" s="16">
        <v>203.6</v>
      </c>
      <c r="F456" s="16">
        <v>11450.47</v>
      </c>
      <c r="G456" s="16" t="str">
        <f>_xlfn.DISPIMG("ID_3F188C7E99E94FECB471234E97C32051",1)</f>
        <v>=DISPIMG("ID_3F188C7E99E94FECB471234E97C32051",1)</v>
      </c>
      <c r="H456" s="16" t="s">
        <v>382</v>
      </c>
      <c r="I456" s="9" t="s">
        <v>390</v>
      </c>
      <c r="J456" s="16" t="s">
        <v>671</v>
      </c>
    </row>
    <row r="457" s="21" customFormat="1" ht="212.25" spans="1:10">
      <c r="A457" s="38">
        <v>248</v>
      </c>
      <c r="B457" s="16" t="s">
        <v>672</v>
      </c>
      <c r="C457" s="16" t="s">
        <v>11</v>
      </c>
      <c r="D457" s="16"/>
      <c r="E457" s="16">
        <v>469.65</v>
      </c>
      <c r="F457" s="16">
        <v>11309.23</v>
      </c>
      <c r="G457" s="16" t="str">
        <f>_xlfn.DISPIMG("ID_C2F336BB6827411BA204CE33DB96E6D1",1)</f>
        <v>=DISPIMG("ID_C2F336BB6827411BA204CE33DB96E6D1",1)</v>
      </c>
      <c r="H457" s="16" t="s">
        <v>382</v>
      </c>
      <c r="I457" s="9" t="s">
        <v>673</v>
      </c>
      <c r="J457" s="16" t="s">
        <v>674</v>
      </c>
    </row>
    <row r="458" s="21" customFormat="1" ht="301.5" spans="1:10">
      <c r="A458" s="38">
        <v>224</v>
      </c>
      <c r="B458" s="16" t="s">
        <v>675</v>
      </c>
      <c r="C458" s="16" t="s">
        <v>11</v>
      </c>
      <c r="D458" s="16"/>
      <c r="E458" s="16">
        <v>106.05</v>
      </c>
      <c r="F458" s="16">
        <v>10087.48</v>
      </c>
      <c r="G458" s="16" t="str">
        <f>_xlfn.DISPIMG("ID_394FC76143EC4E48A68E09CE5DD61152",1)</f>
        <v>=DISPIMG("ID_394FC76143EC4E48A68E09CE5DD61152",1)</v>
      </c>
      <c r="H458" s="16" t="s">
        <v>382</v>
      </c>
      <c r="I458" s="9" t="s">
        <v>676</v>
      </c>
      <c r="J458" s="16" t="s">
        <v>677</v>
      </c>
    </row>
    <row r="459" s="21" customFormat="1" ht="219.45" spans="1:10">
      <c r="A459" s="38">
        <v>234</v>
      </c>
      <c r="B459" s="16" t="s">
        <v>678</v>
      </c>
      <c r="C459" s="16" t="s">
        <v>11</v>
      </c>
      <c r="D459" s="16"/>
      <c r="E459" s="16">
        <v>432.85</v>
      </c>
      <c r="F459" s="16">
        <v>9548.02</v>
      </c>
      <c r="G459" s="16" t="str">
        <f>_xlfn.DISPIMG("ID_31093F73CEB9459E806F0656E6E91E8E",1)</f>
        <v>=DISPIMG("ID_31093F73CEB9459E806F0656E6E91E8E",1)</v>
      </c>
      <c r="H459" s="16" t="s">
        <v>382</v>
      </c>
      <c r="I459" s="9" t="s">
        <v>679</v>
      </c>
      <c r="J459" s="16" t="s">
        <v>548</v>
      </c>
    </row>
    <row r="460" s="21" customFormat="1" ht="282" spans="1:10">
      <c r="A460" s="38">
        <v>238</v>
      </c>
      <c r="B460" s="16" t="s">
        <v>680</v>
      </c>
      <c r="C460" s="16" t="s">
        <v>11</v>
      </c>
      <c r="D460" s="16"/>
      <c r="E460" s="16">
        <v>160</v>
      </c>
      <c r="F460" s="16">
        <v>8807.35</v>
      </c>
      <c r="G460" s="16" t="str">
        <f>_xlfn.DISPIMG("ID_5D7F9FB15F1E45DA97DB7E0C926B7E1F",1)</f>
        <v>=DISPIMG("ID_5D7F9FB15F1E45DA97DB7E0C926B7E1F",1)</v>
      </c>
      <c r="H460" s="16" t="s">
        <v>382</v>
      </c>
      <c r="I460" s="9" t="s">
        <v>681</v>
      </c>
      <c r="J460" s="16" t="s">
        <v>682</v>
      </c>
    </row>
    <row r="461" s="21" customFormat="1" ht="204.75" spans="1:10">
      <c r="A461" s="38">
        <v>233</v>
      </c>
      <c r="B461" s="16" t="s">
        <v>683</v>
      </c>
      <c r="C461" s="16" t="s">
        <v>11</v>
      </c>
      <c r="D461" s="16"/>
      <c r="E461" s="16">
        <v>25.6</v>
      </c>
      <c r="F461" s="16">
        <v>6200.32</v>
      </c>
      <c r="G461" s="16" t="str">
        <f>_xlfn.DISPIMG("ID_47B84B5297F5417EB6478AC349C7399D",1)</f>
        <v>=DISPIMG("ID_47B84B5297F5417EB6478AC349C7399D",1)</v>
      </c>
      <c r="H461" s="16" t="s">
        <v>382</v>
      </c>
      <c r="I461" s="9" t="s">
        <v>684</v>
      </c>
      <c r="J461" s="16" t="s">
        <v>640</v>
      </c>
    </row>
    <row r="462" s="21" customFormat="1" ht="264.75" spans="1:10">
      <c r="A462" s="38">
        <v>255</v>
      </c>
      <c r="B462" s="16" t="s">
        <v>472</v>
      </c>
      <c r="C462" s="16" t="s">
        <v>11</v>
      </c>
      <c r="D462" s="16"/>
      <c r="E462" s="16">
        <v>59</v>
      </c>
      <c r="F462" s="16">
        <v>5560.13</v>
      </c>
      <c r="G462" s="16" t="str">
        <f>_xlfn.DISPIMG("ID_EB5BFA27F64947E79B4157BA0464D839",1)</f>
        <v>=DISPIMG("ID_EB5BFA27F64947E79B4157BA0464D839",1)</v>
      </c>
      <c r="H462" s="16" t="s">
        <v>382</v>
      </c>
      <c r="I462" s="9" t="s">
        <v>685</v>
      </c>
      <c r="J462" s="16" t="s">
        <v>640</v>
      </c>
    </row>
    <row r="463" s="21" customFormat="1" ht="181.8" spans="1:10">
      <c r="A463" s="38">
        <v>210</v>
      </c>
      <c r="B463" s="16" t="s">
        <v>686</v>
      </c>
      <c r="C463" s="16" t="s">
        <v>11</v>
      </c>
      <c r="D463" s="16"/>
      <c r="E463" s="16">
        <v>79.7</v>
      </c>
      <c r="F463" s="16">
        <v>5194.05</v>
      </c>
      <c r="G463" s="16" t="str">
        <f>_xlfn.DISPIMG("ID_73441951B64848D79B56B3454055D057",1)</f>
        <v>=DISPIMG("ID_73441951B64848D79B56B3454055D057",1)</v>
      </c>
      <c r="H463" s="16" t="s">
        <v>382</v>
      </c>
      <c r="I463" s="9" t="s">
        <v>687</v>
      </c>
      <c r="J463" s="16" t="s">
        <v>482</v>
      </c>
    </row>
    <row r="464" s="21" customFormat="1" ht="113.25" spans="1:10">
      <c r="A464" s="38">
        <v>237</v>
      </c>
      <c r="B464" s="16" t="s">
        <v>688</v>
      </c>
      <c r="C464" s="16" t="s">
        <v>11</v>
      </c>
      <c r="D464" s="16"/>
      <c r="E464" s="16">
        <v>125.1</v>
      </c>
      <c r="F464" s="16">
        <v>4981.5</v>
      </c>
      <c r="G464" s="16" t="str">
        <f>_xlfn.DISPIMG("ID_EB6C6B8EA50E43C58342EED22CC2699D",1)</f>
        <v>=DISPIMG("ID_EB6C6B8EA50E43C58342EED22CC2699D",1)</v>
      </c>
      <c r="H464" s="16" t="s">
        <v>382</v>
      </c>
      <c r="I464" s="9" t="s">
        <v>689</v>
      </c>
      <c r="J464" s="16" t="s">
        <v>690</v>
      </c>
    </row>
    <row r="465" s="21" customFormat="1" ht="263.25" spans="1:10">
      <c r="A465" s="38">
        <v>226</v>
      </c>
      <c r="B465" s="16" t="s">
        <v>691</v>
      </c>
      <c r="C465" s="16" t="s">
        <v>11</v>
      </c>
      <c r="D465" s="16"/>
      <c r="E465" s="16">
        <v>106</v>
      </c>
      <c r="F465" s="16">
        <v>3573.13</v>
      </c>
      <c r="G465" s="16" t="str">
        <f>_xlfn.DISPIMG("ID_561731B839344FDBB64CF51E077B187F",1)</f>
        <v>=DISPIMG("ID_561731B839344FDBB64CF51E077B187F",1)</v>
      </c>
      <c r="H465" s="16" t="s">
        <v>382</v>
      </c>
      <c r="I465" s="9" t="s">
        <v>692</v>
      </c>
      <c r="J465" s="16" t="s">
        <v>482</v>
      </c>
    </row>
    <row r="466" s="21" customFormat="1" ht="182.25" spans="1:10">
      <c r="A466" s="38">
        <v>239</v>
      </c>
      <c r="B466" s="16" t="s">
        <v>693</v>
      </c>
      <c r="C466" s="16" t="s">
        <v>11</v>
      </c>
      <c r="D466" s="16"/>
      <c r="E466" s="16">
        <v>130.55</v>
      </c>
      <c r="F466" s="16">
        <v>1827.7</v>
      </c>
      <c r="G466" s="16" t="str">
        <f>_xlfn.DISPIMG("ID_C8C1F9C47D87486985350FF43C6B34BE",1)</f>
        <v>=DISPIMG("ID_C8C1F9C47D87486985350FF43C6B34BE",1)</v>
      </c>
      <c r="H466" s="16" t="s">
        <v>382</v>
      </c>
      <c r="I466" s="9" t="s">
        <v>694</v>
      </c>
      <c r="J466" s="16" t="s">
        <v>482</v>
      </c>
    </row>
    <row r="467" s="21" customFormat="1" ht="210" spans="1:10">
      <c r="A467" s="38">
        <v>217</v>
      </c>
      <c r="B467" s="16" t="s">
        <v>695</v>
      </c>
      <c r="C467" s="16" t="s">
        <v>11</v>
      </c>
      <c r="D467" s="16"/>
      <c r="E467" s="16">
        <v>97</v>
      </c>
      <c r="F467" s="16">
        <v>3000</v>
      </c>
      <c r="G467" s="16" t="str">
        <f>_xlfn.DISPIMG("ID_75430F4947A94D3C98C1CE909B565B02",1)</f>
        <v>=DISPIMG("ID_75430F4947A94D3C98C1CE909B565B02",1)</v>
      </c>
      <c r="H467" s="16" t="s">
        <v>382</v>
      </c>
      <c r="I467" s="9" t="s">
        <v>696</v>
      </c>
      <c r="J467" s="16" t="s">
        <v>697</v>
      </c>
    </row>
    <row r="468" s="21" customFormat="1" ht="169.1" spans="1:10">
      <c r="A468" s="38">
        <v>218</v>
      </c>
      <c r="B468" s="16" t="s">
        <v>384</v>
      </c>
      <c r="C468" s="16" t="s">
        <v>11</v>
      </c>
      <c r="D468" s="16"/>
      <c r="E468" s="16">
        <v>25.95</v>
      </c>
      <c r="F468" s="16">
        <v>1608.9</v>
      </c>
      <c r="G468" s="16" t="str">
        <f>_xlfn.DISPIMG("ID_3154AECD03F145B8BD60588903CDDA9D",1)</f>
        <v>=DISPIMG("ID_3154AECD03F145B8BD60588903CDDA9D",1)</v>
      </c>
      <c r="H468" s="16" t="s">
        <v>382</v>
      </c>
      <c r="I468" s="9" t="s">
        <v>386</v>
      </c>
      <c r="J468" s="16" t="s">
        <v>698</v>
      </c>
    </row>
    <row r="469" s="21" customFormat="1" ht="230.6" spans="1:10">
      <c r="A469" s="38">
        <v>220</v>
      </c>
      <c r="B469" s="16" t="s">
        <v>699</v>
      </c>
      <c r="C469" s="16" t="s">
        <v>11</v>
      </c>
      <c r="D469" s="16"/>
      <c r="E469" s="16">
        <v>12</v>
      </c>
      <c r="F469" s="16">
        <v>1141.43</v>
      </c>
      <c r="G469" s="16" t="str">
        <f>_xlfn.DISPIMG("ID_FE2305213D6648518822C1B9F8F9375B",1)</f>
        <v>=DISPIMG("ID_FE2305213D6648518822C1B9F8F9375B",1)</v>
      </c>
      <c r="H469" s="16" t="s">
        <v>382</v>
      </c>
      <c r="I469" s="9" t="s">
        <v>700</v>
      </c>
      <c r="J469" s="16" t="s">
        <v>701</v>
      </c>
    </row>
    <row r="470" s="21" customFormat="1" ht="241.3" spans="1:10">
      <c r="A470" s="38">
        <v>245</v>
      </c>
      <c r="B470" s="16" t="s">
        <v>702</v>
      </c>
      <c r="C470" s="16" t="s">
        <v>11</v>
      </c>
      <c r="D470" s="16"/>
      <c r="E470" s="16">
        <v>49.9</v>
      </c>
      <c r="F470" s="16">
        <v>1006.97</v>
      </c>
      <c r="G470" s="16" t="str">
        <f>_xlfn.DISPIMG("ID_876B2BA88790430BA6D08F0552DE226B",1)</f>
        <v>=DISPIMG("ID_876B2BA88790430BA6D08F0552DE226B",1)</v>
      </c>
      <c r="H470" s="16" t="s">
        <v>382</v>
      </c>
      <c r="I470" s="9" t="s">
        <v>703</v>
      </c>
      <c r="J470" s="16" t="s">
        <v>482</v>
      </c>
    </row>
    <row r="471" s="21" customFormat="1" ht="199.4" spans="1:10">
      <c r="A471" s="38">
        <v>219</v>
      </c>
      <c r="B471" s="16" t="s">
        <v>387</v>
      </c>
      <c r="C471" s="16" t="s">
        <v>11</v>
      </c>
      <c r="D471" s="16"/>
      <c r="E471" s="16">
        <v>26.25</v>
      </c>
      <c r="F471" s="16">
        <v>878.59</v>
      </c>
      <c r="G471" s="16" t="str">
        <f>_xlfn.DISPIMG("ID_5FA7B99DA83C4E10AB903A80C3D59C66",1)</f>
        <v>=DISPIMG("ID_5FA7B99DA83C4E10AB903A80C3D59C66",1)</v>
      </c>
      <c r="H471" s="16" t="s">
        <v>382</v>
      </c>
      <c r="I471" s="9" t="s">
        <v>388</v>
      </c>
      <c r="J471" s="16" t="s">
        <v>704</v>
      </c>
    </row>
    <row r="472" s="21" customFormat="1" ht="180.65" spans="1:10">
      <c r="A472" s="38">
        <v>240</v>
      </c>
      <c r="B472" s="16" t="s">
        <v>705</v>
      </c>
      <c r="C472" s="16" t="s">
        <v>11</v>
      </c>
      <c r="D472" s="16"/>
      <c r="E472" s="16">
        <v>17.9</v>
      </c>
      <c r="F472" s="16">
        <v>730.85</v>
      </c>
      <c r="G472" s="16" t="str">
        <f>_xlfn.DISPIMG("ID_8F1167C3AB224E36A2718471FFBAFFA5",1)</f>
        <v>=DISPIMG("ID_8F1167C3AB224E36A2718471FFBAFFA5",1)</v>
      </c>
      <c r="H472" s="16" t="s">
        <v>382</v>
      </c>
      <c r="I472" s="9" t="s">
        <v>706</v>
      </c>
      <c r="J472" s="16" t="s">
        <v>482</v>
      </c>
    </row>
    <row r="473" s="21" customFormat="1" ht="173.95" spans="1:10">
      <c r="A473" s="38">
        <v>223</v>
      </c>
      <c r="B473" s="16" t="s">
        <v>707</v>
      </c>
      <c r="C473" s="16" t="s">
        <v>11</v>
      </c>
      <c r="D473" s="16"/>
      <c r="E473" s="16">
        <v>8.7</v>
      </c>
      <c r="F473" s="16">
        <v>643.65</v>
      </c>
      <c r="G473" s="16" t="str">
        <f>_xlfn.DISPIMG("ID_D8C8B165A51E4BFD9550639C343D6E75",1)</f>
        <v>=DISPIMG("ID_D8C8B165A51E4BFD9550639C343D6E75",1)</v>
      </c>
      <c r="H473" s="16" t="s">
        <v>382</v>
      </c>
      <c r="I473" s="9" t="s">
        <v>708</v>
      </c>
      <c r="J473" s="16" t="s">
        <v>709</v>
      </c>
    </row>
    <row r="474" s="21" customFormat="1" ht="238.5" spans="1:10">
      <c r="A474" s="38">
        <v>243</v>
      </c>
      <c r="B474" s="16" t="s">
        <v>710</v>
      </c>
      <c r="C474" s="16" t="s">
        <v>11</v>
      </c>
      <c r="D474" s="16"/>
      <c r="E474" s="16">
        <v>8.7</v>
      </c>
      <c r="F474" s="16">
        <v>505.73</v>
      </c>
      <c r="G474" s="16" t="str">
        <f>_xlfn.DISPIMG("ID_E159FA07A31C43E98CFFB3F0C2C39417",1)</f>
        <v>=DISPIMG("ID_E159FA07A31C43E98CFFB3F0C2C39417",1)</v>
      </c>
      <c r="H474" s="16" t="s">
        <v>382</v>
      </c>
      <c r="I474" s="9" t="s">
        <v>711</v>
      </c>
      <c r="J474" s="16" t="s">
        <v>482</v>
      </c>
    </row>
    <row r="475" s="21" customFormat="1" ht="204" spans="1:10">
      <c r="A475" s="38">
        <v>212</v>
      </c>
      <c r="B475" s="16" t="s">
        <v>712</v>
      </c>
      <c r="C475" s="16" t="s">
        <v>11</v>
      </c>
      <c r="D475" s="16"/>
      <c r="E475" s="16">
        <v>2</v>
      </c>
      <c r="F475" s="16">
        <v>460</v>
      </c>
      <c r="G475" s="16" t="str">
        <f>_xlfn.DISPIMG("ID_89A6D425C79544DF914EF614C15871F0",1)</f>
        <v>=DISPIMG("ID_89A6D425C79544DF914EF614C15871F0",1)</v>
      </c>
      <c r="H475" s="16" t="s">
        <v>382</v>
      </c>
      <c r="I475" s="9" t="s">
        <v>713</v>
      </c>
      <c r="J475" s="16" t="s">
        <v>482</v>
      </c>
    </row>
    <row r="476" s="21" customFormat="1" ht="212.05" spans="1:10">
      <c r="A476" s="38">
        <v>254</v>
      </c>
      <c r="B476" s="16" t="s">
        <v>714</v>
      </c>
      <c r="C476" s="16" t="s">
        <v>11</v>
      </c>
      <c r="D476" s="16"/>
      <c r="E476" s="16">
        <v>8</v>
      </c>
      <c r="F476" s="16">
        <v>448</v>
      </c>
      <c r="G476" s="16" t="str">
        <f>_xlfn.DISPIMG("ID_4A473479E99C404AAB79DBAFCDBDC25B",1)</f>
        <v>=DISPIMG("ID_4A473479E99C404AAB79DBAFCDBDC25B",1)</v>
      </c>
      <c r="H476" s="16" t="s">
        <v>382</v>
      </c>
      <c r="I476" s="9" t="s">
        <v>715</v>
      </c>
      <c r="J476" s="16" t="s">
        <v>716</v>
      </c>
    </row>
    <row r="477" s="21" customFormat="1" ht="292.5" spans="1:10">
      <c r="A477" s="38">
        <v>244</v>
      </c>
      <c r="B477" s="16" t="s">
        <v>717</v>
      </c>
      <c r="C477" s="16" t="s">
        <v>11</v>
      </c>
      <c r="D477" s="16"/>
      <c r="E477" s="16">
        <v>1.45</v>
      </c>
      <c r="F477" s="16">
        <v>348</v>
      </c>
      <c r="G477" s="16" t="str">
        <f>_xlfn.DISPIMG("ID_4A2D4D6AD72B4DE0B2C316AA5400483C",1)</f>
        <v>=DISPIMG("ID_4A2D4D6AD72B4DE0B2C316AA5400483C",1)</v>
      </c>
      <c r="H477" s="16" t="s">
        <v>382</v>
      </c>
      <c r="I477" s="9" t="s">
        <v>718</v>
      </c>
      <c r="J477" s="16" t="s">
        <v>719</v>
      </c>
    </row>
    <row r="478" s="21" customFormat="1" ht="192.75" spans="1:10">
      <c r="A478" s="38">
        <v>247</v>
      </c>
      <c r="B478" s="16" t="s">
        <v>720</v>
      </c>
      <c r="C478" s="16" t="s">
        <v>11</v>
      </c>
      <c r="D478" s="16"/>
      <c r="E478" s="16">
        <v>2.4</v>
      </c>
      <c r="F478" s="16">
        <v>157.85</v>
      </c>
      <c r="G478" s="16" t="str">
        <f>_xlfn.DISPIMG("ID_69245E5021B548EC80FAEEBD9F37391A",1)</f>
        <v>=DISPIMG("ID_69245E5021B548EC80FAEEBD9F37391A",1)</v>
      </c>
      <c r="H478" s="16" t="s">
        <v>382</v>
      </c>
      <c r="I478" s="9" t="s">
        <v>721</v>
      </c>
      <c r="J478" s="16" t="s">
        <v>482</v>
      </c>
    </row>
    <row r="479" s="21" customFormat="1" ht="208.15" spans="1:10">
      <c r="A479" s="38">
        <v>241</v>
      </c>
      <c r="B479" s="16" t="s">
        <v>722</v>
      </c>
      <c r="C479" s="16" t="s">
        <v>11</v>
      </c>
      <c r="D479" s="16"/>
      <c r="E479" s="16">
        <v>1.5</v>
      </c>
      <c r="F479" s="16">
        <v>115.67</v>
      </c>
      <c r="G479" s="16" t="str">
        <f>_xlfn.DISPIMG("ID_2A2542674E094B0EB7D5A19DDAA72FE2",1)</f>
        <v>=DISPIMG("ID_2A2542674E094B0EB7D5A19DDAA72FE2",1)</v>
      </c>
      <c r="H479" s="16" t="s">
        <v>382</v>
      </c>
      <c r="I479" s="9" t="s">
        <v>723</v>
      </c>
      <c r="J479" s="16" t="s">
        <v>716</v>
      </c>
    </row>
    <row r="480" s="21" customFormat="1" ht="218.8" spans="1:10">
      <c r="A480" s="38">
        <v>215</v>
      </c>
      <c r="B480" s="16" t="s">
        <v>724</v>
      </c>
      <c r="C480" s="16" t="s">
        <v>11</v>
      </c>
      <c r="D480" s="16"/>
      <c r="E480" s="16">
        <v>2.55</v>
      </c>
      <c r="F480" s="16">
        <v>80.86</v>
      </c>
      <c r="G480" s="16" t="str">
        <f>_xlfn.DISPIMG("ID_C3A5D8948F944125874A72205142095D",1)</f>
        <v>=DISPIMG("ID_C3A5D8948F944125874A72205142095D",1)</v>
      </c>
      <c r="H480" s="16" t="s">
        <v>382</v>
      </c>
      <c r="I480" s="9" t="s">
        <v>725</v>
      </c>
      <c r="J480" s="16" t="s">
        <v>726</v>
      </c>
    </row>
    <row r="481" s="21" customFormat="1" ht="152.6" spans="1:10">
      <c r="A481" s="38">
        <v>259</v>
      </c>
      <c r="B481" s="16" t="s">
        <v>727</v>
      </c>
      <c r="C481" s="16" t="s">
        <v>11</v>
      </c>
      <c r="D481" s="16"/>
      <c r="E481" s="16">
        <v>1</v>
      </c>
      <c r="F481" s="16">
        <v>70</v>
      </c>
      <c r="G481" s="16" t="str">
        <f>_xlfn.DISPIMG("ID_BD28300F867C4A26A8E7E35A9158EE85",1)</f>
        <v>=DISPIMG("ID_BD28300F867C4A26A8E7E35A9158EE85",1)</v>
      </c>
      <c r="H481" s="16" t="s">
        <v>382</v>
      </c>
      <c r="I481" s="42" t="s">
        <v>728</v>
      </c>
      <c r="J481" s="16" t="s">
        <v>729</v>
      </c>
    </row>
    <row r="482" s="21" customFormat="1" ht="203.9" spans="1:10">
      <c r="A482" s="38">
        <v>261</v>
      </c>
      <c r="B482" s="16" t="s">
        <v>730</v>
      </c>
      <c r="C482" s="16" t="s">
        <v>11</v>
      </c>
      <c r="D482" s="16"/>
      <c r="E482" s="16">
        <v>1</v>
      </c>
      <c r="F482" s="16">
        <v>60</v>
      </c>
      <c r="G482" s="16" t="str">
        <f>_xlfn.DISPIMG("ID_F57652FAC45145E4866571D1F6CBC4FE",1)</f>
        <v>=DISPIMG("ID_F57652FAC45145E4866571D1F6CBC4FE",1)</v>
      </c>
      <c r="H482" s="16" t="s">
        <v>382</v>
      </c>
      <c r="I482" s="42" t="s">
        <v>731</v>
      </c>
      <c r="J482" s="16" t="s">
        <v>548</v>
      </c>
    </row>
    <row r="483" s="21" customFormat="1" ht="148.5" spans="1:10">
      <c r="A483" s="38">
        <v>222</v>
      </c>
      <c r="B483" s="16" t="s">
        <v>468</v>
      </c>
      <c r="C483" s="16" t="s">
        <v>11</v>
      </c>
      <c r="D483" s="16"/>
      <c r="E483" s="16">
        <v>1.7</v>
      </c>
      <c r="F483" s="16">
        <v>53.91</v>
      </c>
      <c r="G483" s="16" t="str">
        <f>_xlfn.DISPIMG("ID_0020AE04140C43D8BE7FC538E7BD3A05",1)</f>
        <v>=DISPIMG("ID_0020AE04140C43D8BE7FC538E7BD3A05",1)</v>
      </c>
      <c r="H483" s="16" t="s">
        <v>382</v>
      </c>
      <c r="I483" s="9" t="s">
        <v>732</v>
      </c>
      <c r="J483" s="16" t="s">
        <v>733</v>
      </c>
    </row>
    <row r="484" s="21" customFormat="1" ht="257.25" spans="1:10">
      <c r="A484" s="38">
        <v>221</v>
      </c>
      <c r="B484" s="16" t="s">
        <v>734</v>
      </c>
      <c r="C484" s="16" t="s">
        <v>11</v>
      </c>
      <c r="D484" s="16"/>
      <c r="E484" s="16">
        <v>1.25</v>
      </c>
      <c r="F484" s="16">
        <v>50.64</v>
      </c>
      <c r="G484" s="16" t="str">
        <f>_xlfn.DISPIMG("ID_62BB9832B2A34AABAEB19CCE61931DEF",1)</f>
        <v>=DISPIMG("ID_62BB9832B2A34AABAEB19CCE61931DEF",1)</v>
      </c>
      <c r="H484" s="16" t="s">
        <v>382</v>
      </c>
      <c r="I484" s="9" t="s">
        <v>735</v>
      </c>
      <c r="J484" s="16" t="s">
        <v>482</v>
      </c>
    </row>
    <row r="485" s="21" customFormat="1" ht="198" spans="1:10">
      <c r="A485" s="38">
        <v>236</v>
      </c>
      <c r="B485" s="16" t="s">
        <v>736</v>
      </c>
      <c r="C485" s="16" t="s">
        <v>11</v>
      </c>
      <c r="D485" s="16"/>
      <c r="E485" s="16">
        <v>0.3</v>
      </c>
      <c r="F485" s="16">
        <v>34.41</v>
      </c>
      <c r="G485" s="16" t="str">
        <f>_xlfn.DISPIMG("ID_F6B5CDAA41284270A4A0DEC6C8BFD51A",1)</f>
        <v>=DISPIMG("ID_F6B5CDAA41284270A4A0DEC6C8BFD51A",1)</v>
      </c>
      <c r="H485" s="16" t="s">
        <v>382</v>
      </c>
      <c r="I485" s="9" t="s">
        <v>737</v>
      </c>
      <c r="J485" s="16" t="s">
        <v>482</v>
      </c>
    </row>
    <row r="486" s="21" customFormat="1" ht="131.25" spans="1:10">
      <c r="A486" s="38">
        <v>260</v>
      </c>
      <c r="B486" s="16" t="s">
        <v>738</v>
      </c>
      <c r="C486" s="16" t="s">
        <v>11</v>
      </c>
      <c r="D486" s="16"/>
      <c r="E486" s="16">
        <v>1</v>
      </c>
      <c r="F486" s="16">
        <v>33</v>
      </c>
      <c r="G486" s="16" t="str">
        <f>_xlfn.DISPIMG("ID_C7F5AE604B4E48F294FD0471FA80C42B",1)</f>
        <v>=DISPIMG("ID_C7F5AE604B4E48F294FD0471FA80C42B",1)</v>
      </c>
      <c r="H486" s="16" t="s">
        <v>382</v>
      </c>
      <c r="I486" s="42" t="s">
        <v>739</v>
      </c>
      <c r="J486" s="16" t="s">
        <v>740</v>
      </c>
    </row>
    <row r="487" s="21" customFormat="1" ht="157.5" spans="1:10">
      <c r="A487" s="38">
        <v>262</v>
      </c>
      <c r="B487" s="16" t="s">
        <v>741</v>
      </c>
      <c r="C487" s="16" t="s">
        <v>11</v>
      </c>
      <c r="D487" s="16"/>
      <c r="E487" s="16">
        <v>1</v>
      </c>
      <c r="F487" s="16">
        <v>16</v>
      </c>
      <c r="G487" s="16" t="str">
        <f>_xlfn.DISPIMG("ID_DC9F7B2D616D4FFA80CDE48B43332CE5",1)</f>
        <v>=DISPIMG("ID_DC9F7B2D616D4FFA80CDE48B43332CE5",1)</v>
      </c>
      <c r="H487" s="16" t="s">
        <v>382</v>
      </c>
      <c r="I487" s="42" t="s">
        <v>742</v>
      </c>
      <c r="J487" s="16" t="s">
        <v>743</v>
      </c>
    </row>
    <row r="488" s="21" customFormat="1" ht="209.8" spans="1:10">
      <c r="A488" s="38">
        <v>266</v>
      </c>
      <c r="B488" s="16" t="s">
        <v>443</v>
      </c>
      <c r="C488" s="16" t="s">
        <v>11</v>
      </c>
      <c r="D488" s="16"/>
      <c r="E488" s="16">
        <v>849.8</v>
      </c>
      <c r="F488" s="16">
        <v>9985.46999999998</v>
      </c>
      <c r="G488" s="16" t="str">
        <f>_xlfn.DISPIMG("ID_56AF385B99EB48DBA8EE9DCF1803288C",1)</f>
        <v>=DISPIMG("ID_56AF385B99EB48DBA8EE9DCF1803288C",1)</v>
      </c>
      <c r="H488" s="16" t="s">
        <v>418</v>
      </c>
      <c r="I488" s="9" t="s">
        <v>444</v>
      </c>
      <c r="J488" s="16" t="s">
        <v>482</v>
      </c>
    </row>
    <row r="489" s="21" customFormat="1" ht="172.35" spans="1:10">
      <c r="A489" s="38">
        <v>263</v>
      </c>
      <c r="B489" s="16" t="s">
        <v>744</v>
      </c>
      <c r="C489" s="16" t="s">
        <v>429</v>
      </c>
      <c r="D489" s="16"/>
      <c r="E489" s="16">
        <v>392</v>
      </c>
      <c r="F489" s="16">
        <v>3528</v>
      </c>
      <c r="G489" s="39" t="str">
        <f>_xlfn.DISPIMG("ID_8BA0DB892F9640CD8A4DED18671D2A35",1)</f>
        <v>=DISPIMG("ID_8BA0DB892F9640CD8A4DED18671D2A35",1)</v>
      </c>
      <c r="H489" s="16" t="s">
        <v>418</v>
      </c>
      <c r="I489" s="9" t="s">
        <v>745</v>
      </c>
      <c r="J489" s="9" t="s">
        <v>746</v>
      </c>
    </row>
    <row r="490" s="21" customFormat="1" ht="235.75" spans="1:10">
      <c r="A490" s="38">
        <v>264</v>
      </c>
      <c r="B490" s="16" t="s">
        <v>439</v>
      </c>
      <c r="C490" s="16" t="s">
        <v>429</v>
      </c>
      <c r="D490" s="16"/>
      <c r="E490" s="16">
        <v>3</v>
      </c>
      <c r="F490" s="16">
        <v>84</v>
      </c>
      <c r="G490" s="16" t="str">
        <f>_xlfn.DISPIMG("ID_391E341EB7FA44CF9F89EC3A56AB9047",1)</f>
        <v>=DISPIMG("ID_391E341EB7FA44CF9F89EC3A56AB9047",1)</v>
      </c>
      <c r="H490" s="16" t="s">
        <v>418</v>
      </c>
      <c r="I490" s="9" t="s">
        <v>440</v>
      </c>
      <c r="J490" s="9" t="s">
        <v>747</v>
      </c>
    </row>
    <row r="491" s="21" customFormat="1" ht="225" spans="1:10">
      <c r="A491" s="38">
        <v>265</v>
      </c>
      <c r="B491" s="16" t="s">
        <v>441</v>
      </c>
      <c r="C491" s="16" t="s">
        <v>160</v>
      </c>
      <c r="D491" s="16"/>
      <c r="E491" s="16">
        <v>1</v>
      </c>
      <c r="F491" s="16">
        <v>9.5</v>
      </c>
      <c r="G491" s="16" t="str">
        <f>_xlfn.DISPIMG("ID_4AA9E71F65364D7E8935F6166ACA0DF1",1)</f>
        <v>=DISPIMG("ID_4AA9E71F65364D7E8935F6166ACA0DF1",1)</v>
      </c>
      <c r="H491" s="16" t="s">
        <v>418</v>
      </c>
      <c r="I491" s="9" t="s">
        <v>442</v>
      </c>
      <c r="J491" s="16" t="s">
        <v>482</v>
      </c>
    </row>
  </sheetData>
  <conditionalFormatting sqref="A1">
    <cfRule type="duplicateValues" dxfId="0" priority="4"/>
  </conditionalFormatting>
  <conditionalFormatting sqref="C1:I1">
    <cfRule type="duplicateValues" dxfId="0" priority="6"/>
  </conditionalFormatting>
  <conditionalFormatting sqref="J1">
    <cfRule type="duplicateValues" dxfId="0" priority="3"/>
  </conditionalFormatting>
  <conditionalFormatting sqref="B431">
    <cfRule type="duplicateValues" dxfId="0" priority="1"/>
  </conditionalFormatting>
  <conditionalFormatting sqref="A2:A230">
    <cfRule type="duplicateValues" dxfId="0" priority="5"/>
  </conditionalFormatting>
  <conditionalFormatting sqref="B1:B230 B492:B1048576">
    <cfRule type="duplicateValues" dxfId="0" priority="7"/>
  </conditionalFormatting>
  <conditionalFormatting sqref="B231:B430 D231:D430 B432:B476 D432:D476">
    <cfRule type="duplicateValues" dxfId="0" priority="2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1"/>
  <sheetViews>
    <sheetView tabSelected="1" zoomScale="90" zoomScaleNormal="90" workbookViewId="0">
      <pane xSplit="1" ySplit="1" topLeftCell="B2" activePane="bottomRight" state="frozen"/>
      <selection/>
      <selection pane="topRight"/>
      <selection pane="bottomLeft"/>
      <selection pane="bottomRight" activeCell="E2" sqref="E2"/>
    </sheetView>
  </sheetViews>
  <sheetFormatPr defaultColWidth="9" defaultRowHeight="13.5"/>
  <cols>
    <col min="1" max="1" width="9.75833333333333" customWidth="1"/>
    <col min="2" max="2" width="25.375" customWidth="1"/>
    <col min="4" max="4" width="18.3333333333333" customWidth="1"/>
    <col min="5" max="5" width="20.2583333333333" customWidth="1"/>
    <col min="6" max="6" width="23.7583333333333" customWidth="1"/>
    <col min="7" max="7" width="33.375" customWidth="1"/>
    <col min="8" max="8" width="12.7583333333333" customWidth="1"/>
    <col min="9" max="9" width="12.6416666666667" customWidth="1"/>
  </cols>
  <sheetData>
    <row r="1" ht="55" customHeight="1" spans="1:9">
      <c r="A1" s="1" t="s">
        <v>0</v>
      </c>
      <c r="B1" s="2" t="s">
        <v>748</v>
      </c>
      <c r="C1" s="2" t="s">
        <v>2</v>
      </c>
      <c r="D1" s="2" t="s">
        <v>749</v>
      </c>
      <c r="E1" s="2" t="s">
        <v>7</v>
      </c>
      <c r="F1" s="2" t="s">
        <v>6</v>
      </c>
      <c r="G1" s="2" t="s">
        <v>8</v>
      </c>
      <c r="H1" s="2" t="s">
        <v>750</v>
      </c>
      <c r="I1" s="2" t="s">
        <v>751</v>
      </c>
    </row>
    <row r="2" ht="189" customHeight="1" spans="1:9">
      <c r="A2" s="3">
        <v>1</v>
      </c>
      <c r="B2" s="4" t="s">
        <v>496</v>
      </c>
      <c r="C2" s="4" t="s">
        <v>11</v>
      </c>
      <c r="D2" s="4">
        <v>802.75</v>
      </c>
      <c r="E2" s="4" t="s">
        <v>752</v>
      </c>
      <c r="F2" s="5" t="str">
        <f>_xlfn.DISPIMG("ID_577A8A6CAF364F10BAB71125ED7262A7",1)</f>
        <v>=DISPIMG("ID_577A8A6CAF364F10BAB71125ED7262A7",1)</v>
      </c>
      <c r="G2" s="6" t="s">
        <v>497</v>
      </c>
      <c r="H2" s="4" t="s">
        <v>482</v>
      </c>
      <c r="I2" s="4" t="s">
        <v>482</v>
      </c>
    </row>
    <row r="3" ht="162" customHeight="1" spans="1:9">
      <c r="A3" s="3">
        <v>2</v>
      </c>
      <c r="B3" s="4" t="s">
        <v>753</v>
      </c>
      <c r="C3" s="4" t="s">
        <v>11</v>
      </c>
      <c r="D3" s="4">
        <v>209.55</v>
      </c>
      <c r="E3" s="4" t="s">
        <v>752</v>
      </c>
      <c r="F3" s="5" t="str">
        <f>_xlfn.DISPIMG("ID_ED701F3960A44F119EB87B75B62DBD81",1)</f>
        <v>=DISPIMG("ID_ED701F3960A44F119EB87B75B62DBD81",1)</v>
      </c>
      <c r="G3" s="6" t="s">
        <v>515</v>
      </c>
      <c r="H3" s="4" t="s">
        <v>482</v>
      </c>
      <c r="I3" s="4" t="s">
        <v>482</v>
      </c>
    </row>
    <row r="4" ht="162" customHeight="1" spans="1:9">
      <c r="A4" s="3">
        <v>3</v>
      </c>
      <c r="B4" s="4" t="s">
        <v>69</v>
      </c>
      <c r="C4" s="4" t="s">
        <v>11</v>
      </c>
      <c r="D4" s="4">
        <v>1731.6</v>
      </c>
      <c r="E4" s="4" t="s">
        <v>752</v>
      </c>
      <c r="F4" s="5" t="str">
        <f>_xlfn.DISPIMG("ID_6832AA8718BE4F7694FDBEC1EFF6A85D",1)</f>
        <v>=DISPIMG("ID_6832AA8718BE4F7694FDBEC1EFF6A85D",1)</v>
      </c>
      <c r="G4" s="6" t="s">
        <v>70</v>
      </c>
      <c r="H4" s="4" t="s">
        <v>485</v>
      </c>
      <c r="I4" s="4" t="s">
        <v>482</v>
      </c>
    </row>
    <row r="5" ht="175.5" customHeight="1" spans="1:9">
      <c r="A5" s="3">
        <v>4</v>
      </c>
      <c r="B5" s="4" t="s">
        <v>539</v>
      </c>
      <c r="C5" s="4" t="s">
        <v>11</v>
      </c>
      <c r="D5" s="4">
        <v>16</v>
      </c>
      <c r="E5" s="4" t="s">
        <v>752</v>
      </c>
      <c r="F5" s="5" t="str">
        <f>_xlfn.DISPIMG("ID_66A1DBC19F3F440DAEC6F0BE5AE0CF81",1)</f>
        <v>=DISPIMG("ID_66A1DBC19F3F440DAEC6F0BE5AE0CF81",1)</v>
      </c>
      <c r="G5" s="6" t="s">
        <v>540</v>
      </c>
      <c r="H5" s="4" t="s">
        <v>482</v>
      </c>
      <c r="I5" s="4" t="s">
        <v>482</v>
      </c>
    </row>
    <row r="6" ht="202.5" customHeight="1" spans="1:9">
      <c r="A6" s="3">
        <v>5</v>
      </c>
      <c r="B6" s="4" t="s">
        <v>470</v>
      </c>
      <c r="C6" s="4" t="s">
        <v>11</v>
      </c>
      <c r="D6" s="4">
        <v>50</v>
      </c>
      <c r="E6" s="4" t="s">
        <v>752</v>
      </c>
      <c r="F6" s="5" t="str">
        <f>_xlfn.DISPIMG("ID_247F590FECB04A50977062AA592FCE02",1)</f>
        <v>=DISPIMG("ID_247F590FECB04A50977062AA592FCE02",1)</v>
      </c>
      <c r="G6" s="6" t="s">
        <v>471</v>
      </c>
      <c r="H6" s="4" t="s">
        <v>482</v>
      </c>
      <c r="I6" s="4" t="s">
        <v>482</v>
      </c>
    </row>
    <row r="7" ht="148.5" customHeight="1" spans="1:9">
      <c r="A7" s="3">
        <v>6</v>
      </c>
      <c r="B7" s="4" t="s">
        <v>73</v>
      </c>
      <c r="C7" s="4" t="s">
        <v>11</v>
      </c>
      <c r="D7" s="4">
        <v>201.8</v>
      </c>
      <c r="E7" s="4" t="s">
        <v>752</v>
      </c>
      <c r="F7" s="5" t="str">
        <f>_xlfn.DISPIMG("ID_2737530E463F484DA814D7752C5ED4C8",1)</f>
        <v>=DISPIMG("ID_2737530E463F484DA814D7752C5ED4C8",1)</v>
      </c>
      <c r="G7" s="6" t="s">
        <v>74</v>
      </c>
      <c r="H7" s="4" t="s">
        <v>485</v>
      </c>
      <c r="I7" s="4" t="s">
        <v>482</v>
      </c>
    </row>
    <row r="8" ht="216" customHeight="1" spans="1:9">
      <c r="A8" s="3">
        <v>7</v>
      </c>
      <c r="B8" s="4" t="s">
        <v>462</v>
      </c>
      <c r="C8" s="4" t="s">
        <v>11</v>
      </c>
      <c r="D8" s="4">
        <v>500</v>
      </c>
      <c r="E8" s="4" t="s">
        <v>752</v>
      </c>
      <c r="F8" s="5" t="str">
        <f>_xlfn.DISPIMG("ID_F2076C802DB8454C9294C67C3DAF0DBD",1)</f>
        <v>=DISPIMG("ID_F2076C802DB8454C9294C67C3DAF0DBD",1)</v>
      </c>
      <c r="G8" s="6" t="s">
        <v>463</v>
      </c>
      <c r="H8" s="4" t="s">
        <v>482</v>
      </c>
      <c r="I8" s="4" t="s">
        <v>482</v>
      </c>
    </row>
    <row r="9" ht="175.5" customHeight="1" spans="1:9">
      <c r="A9" s="3">
        <v>8</v>
      </c>
      <c r="B9" s="4" t="s">
        <v>10</v>
      </c>
      <c r="C9" s="4" t="s">
        <v>11</v>
      </c>
      <c r="D9" s="4">
        <v>930</v>
      </c>
      <c r="E9" s="4" t="s">
        <v>752</v>
      </c>
      <c r="F9" s="5" t="str">
        <f>_xlfn.DISPIMG("ID_C2D97FFC98454FCA8DA40DF04AADF74F",1)</f>
        <v>=DISPIMG("ID_C2D97FFC98454FCA8DA40DF04AADF74F",1)</v>
      </c>
      <c r="G9" s="6" t="s">
        <v>13</v>
      </c>
      <c r="H9" s="4" t="s">
        <v>485</v>
      </c>
      <c r="I9" s="4" t="s">
        <v>482</v>
      </c>
    </row>
    <row r="10" ht="162" customHeight="1" spans="1:9">
      <c r="A10" s="3">
        <v>9</v>
      </c>
      <c r="B10" s="4" t="s">
        <v>544</v>
      </c>
      <c r="C10" s="4" t="s">
        <v>11</v>
      </c>
      <c r="D10" s="4">
        <v>2</v>
      </c>
      <c r="E10" s="4" t="s">
        <v>752</v>
      </c>
      <c r="F10" s="5" t="str">
        <f>_xlfn.DISPIMG("ID_F11F890138F34511A03031A148EC3E1C",1)</f>
        <v>=DISPIMG("ID_F11F890138F34511A03031A148EC3E1C",1)</v>
      </c>
      <c r="G10" s="6" t="s">
        <v>545</v>
      </c>
      <c r="H10" s="4" t="s">
        <v>482</v>
      </c>
      <c r="I10" s="4" t="s">
        <v>482</v>
      </c>
    </row>
    <row r="11" ht="162" customHeight="1" spans="1:9">
      <c r="A11" s="3">
        <v>10</v>
      </c>
      <c r="B11" s="4" t="s">
        <v>516</v>
      </c>
      <c r="C11" s="4" t="s">
        <v>11</v>
      </c>
      <c r="D11" s="4">
        <v>37.35</v>
      </c>
      <c r="E11" s="4" t="s">
        <v>752</v>
      </c>
      <c r="F11" s="5" t="str">
        <f>_xlfn.DISPIMG("ID_AD65270792A5446BB0CB212E1D249DD8",1)</f>
        <v>=DISPIMG("ID_AD65270792A5446BB0CB212E1D249DD8",1)</v>
      </c>
      <c r="G11" s="6" t="s">
        <v>517</v>
      </c>
      <c r="H11" s="4" t="s">
        <v>485</v>
      </c>
      <c r="I11" s="4" t="s">
        <v>482</v>
      </c>
    </row>
    <row r="12" ht="175.5" customHeight="1" spans="1:9">
      <c r="A12" s="3">
        <v>11</v>
      </c>
      <c r="B12" s="4" t="s">
        <v>528</v>
      </c>
      <c r="C12" s="4" t="s">
        <v>11</v>
      </c>
      <c r="D12" s="4">
        <v>2</v>
      </c>
      <c r="E12" s="4" t="s">
        <v>752</v>
      </c>
      <c r="F12" s="5" t="str">
        <f>_xlfn.DISPIMG("ID_040BD62837FF49AC8037FFE25A3DC813",1)</f>
        <v>=DISPIMG("ID_040BD62837FF49AC8037FFE25A3DC813",1)</v>
      </c>
      <c r="G12" s="6" t="s">
        <v>529</v>
      </c>
      <c r="H12" s="4" t="s">
        <v>485</v>
      </c>
      <c r="I12" s="4" t="s">
        <v>482</v>
      </c>
    </row>
    <row r="13" ht="148.5" customHeight="1" spans="1:9">
      <c r="A13" s="3">
        <v>12</v>
      </c>
      <c r="B13" s="4" t="s">
        <v>200</v>
      </c>
      <c r="C13" s="4" t="s">
        <v>11</v>
      </c>
      <c r="D13" s="4">
        <v>5435.75</v>
      </c>
      <c r="E13" s="4" t="s">
        <v>752</v>
      </c>
      <c r="F13" s="5" t="str">
        <f>_xlfn.DISPIMG("ID_143C7AF3BC944136B846BAFA4C9123E1",1)</f>
        <v>=DISPIMG("ID_143C7AF3BC944136B846BAFA4C9123E1",1)</v>
      </c>
      <c r="G13" s="6" t="s">
        <v>201</v>
      </c>
      <c r="H13" s="4" t="s">
        <v>482</v>
      </c>
      <c r="I13" s="4" t="s">
        <v>482</v>
      </c>
    </row>
    <row r="14" ht="162" customHeight="1" spans="1:9">
      <c r="A14" s="3">
        <v>13</v>
      </c>
      <c r="B14" s="4" t="s">
        <v>88</v>
      </c>
      <c r="C14" s="4" t="s">
        <v>11</v>
      </c>
      <c r="D14" s="4">
        <v>200</v>
      </c>
      <c r="E14" s="4" t="s">
        <v>752</v>
      </c>
      <c r="F14" s="5" t="str">
        <f>_xlfn.DISPIMG("ID_A27FCB3B2A0845AB89ABDF761812F7D6",1)</f>
        <v>=DISPIMG("ID_A27FCB3B2A0845AB89ABDF761812F7D6",1)</v>
      </c>
      <c r="G14" s="6" t="s">
        <v>89</v>
      </c>
      <c r="H14" s="4" t="s">
        <v>482</v>
      </c>
      <c r="I14" s="4" t="s">
        <v>482</v>
      </c>
    </row>
    <row r="15" ht="175.5" customHeight="1" spans="1:9">
      <c r="A15" s="3">
        <v>14</v>
      </c>
      <c r="B15" s="4" t="s">
        <v>90</v>
      </c>
      <c r="C15" s="4" t="s">
        <v>11</v>
      </c>
      <c r="D15" s="4">
        <v>436.5</v>
      </c>
      <c r="E15" s="4" t="s">
        <v>752</v>
      </c>
      <c r="F15" s="5" t="str">
        <f>_xlfn.DISPIMG("ID_8ED3F16C14F141AABCC5822002B32CEB",1)</f>
        <v>=DISPIMG("ID_8ED3F16C14F141AABCC5822002B32CEB",1)</v>
      </c>
      <c r="G15" s="6" t="s">
        <v>91</v>
      </c>
      <c r="H15" s="4" t="s">
        <v>482</v>
      </c>
      <c r="I15" s="4" t="s">
        <v>482</v>
      </c>
    </row>
    <row r="16" ht="175.5" customHeight="1" spans="1:9">
      <c r="A16" s="3">
        <v>15</v>
      </c>
      <c r="B16" s="4" t="s">
        <v>506</v>
      </c>
      <c r="C16" s="4" t="s">
        <v>11</v>
      </c>
      <c r="D16" s="4">
        <v>421.65</v>
      </c>
      <c r="E16" s="4" t="s">
        <v>752</v>
      </c>
      <c r="F16" s="5" t="str">
        <f>_xlfn.DISPIMG("ID_0CB7A8FA602842D7A35DEC233F6FFCF6",1)</f>
        <v>=DISPIMG("ID_0CB7A8FA602842D7A35DEC233F6FFCF6",1)</v>
      </c>
      <c r="G16" s="6" t="s">
        <v>507</v>
      </c>
      <c r="H16" s="4" t="s">
        <v>485</v>
      </c>
      <c r="I16" s="4" t="s">
        <v>482</v>
      </c>
    </row>
    <row r="17" ht="175.5" customHeight="1" spans="1:9">
      <c r="A17" s="3">
        <v>16</v>
      </c>
      <c r="B17" s="4" t="s">
        <v>503</v>
      </c>
      <c r="C17" s="4" t="s">
        <v>11</v>
      </c>
      <c r="D17" s="4">
        <v>139.25</v>
      </c>
      <c r="E17" s="4" t="s">
        <v>752</v>
      </c>
      <c r="F17" s="5" t="str">
        <f>_xlfn.DISPIMG("ID_4F7722F69C544CDFA276EF7EDE083728",1)</f>
        <v>=DISPIMG("ID_4F7722F69C544CDFA276EF7EDE083728",1)</v>
      </c>
      <c r="G17" s="6" t="s">
        <v>504</v>
      </c>
      <c r="H17" s="4" t="s">
        <v>505</v>
      </c>
      <c r="I17" s="4" t="s">
        <v>482</v>
      </c>
    </row>
    <row r="18" ht="162" customHeight="1" spans="1:9">
      <c r="A18" s="3">
        <v>17</v>
      </c>
      <c r="B18" s="4" t="s">
        <v>58</v>
      </c>
      <c r="C18" s="4" t="s">
        <v>11</v>
      </c>
      <c r="D18" s="4">
        <v>347.55</v>
      </c>
      <c r="E18" s="4" t="s">
        <v>752</v>
      </c>
      <c r="F18" s="5" t="str">
        <f>_xlfn.DISPIMG("ID_5C883FD852E74D7DB968EFA0C28AA6D4",1)</f>
        <v>=DISPIMG("ID_5C883FD852E74D7DB968EFA0C28AA6D4",1)</v>
      </c>
      <c r="G18" s="6" t="s">
        <v>59</v>
      </c>
      <c r="H18" s="4" t="s">
        <v>485</v>
      </c>
      <c r="I18" s="4" t="s">
        <v>482</v>
      </c>
    </row>
    <row r="19" ht="148.5" customHeight="1" spans="1:9">
      <c r="A19" s="3">
        <v>18</v>
      </c>
      <c r="B19" s="4" t="s">
        <v>60</v>
      </c>
      <c r="C19" s="4" t="s">
        <v>11</v>
      </c>
      <c r="D19" s="4">
        <v>47.9</v>
      </c>
      <c r="E19" s="4" t="s">
        <v>752</v>
      </c>
      <c r="F19" s="5" t="str">
        <f>_xlfn.DISPIMG("ID_2D56D7DD68034B42A4C13EE9808BB4A8",1)</f>
        <v>=DISPIMG("ID_2D56D7DD68034B42A4C13EE9808BB4A8",1)</v>
      </c>
      <c r="G19" s="6" t="s">
        <v>61</v>
      </c>
      <c r="H19" s="4" t="s">
        <v>482</v>
      </c>
      <c r="I19" s="4" t="s">
        <v>482</v>
      </c>
    </row>
    <row r="20" ht="189" customHeight="1" spans="1:9">
      <c r="A20" s="3">
        <v>19</v>
      </c>
      <c r="B20" s="4" t="s">
        <v>21</v>
      </c>
      <c r="C20" s="4" t="s">
        <v>487</v>
      </c>
      <c r="D20" s="4">
        <v>50131</v>
      </c>
      <c r="E20" s="4" t="s">
        <v>752</v>
      </c>
      <c r="F20" s="5" t="str">
        <f>_xlfn.DISPIMG("ID_A2A8D0D6E0D744C589E68A1AE7D3C08A",1)</f>
        <v>=DISPIMG("ID_A2A8D0D6E0D744C589E68A1AE7D3C08A",1)</v>
      </c>
      <c r="G20" s="6" t="s">
        <v>24</v>
      </c>
      <c r="H20" s="4" t="s">
        <v>488</v>
      </c>
      <c r="I20" s="4" t="s">
        <v>482</v>
      </c>
    </row>
    <row r="21" ht="175.5" customHeight="1" spans="1:9">
      <c r="A21" s="3">
        <v>20</v>
      </c>
      <c r="B21" s="4" t="s">
        <v>25</v>
      </c>
      <c r="C21" s="4" t="s">
        <v>11</v>
      </c>
      <c r="D21" s="4">
        <v>1296.55</v>
      </c>
      <c r="E21" s="4" t="s">
        <v>752</v>
      </c>
      <c r="F21" s="5" t="str">
        <f>_xlfn.DISPIMG("ID_AA82E5F717C94212940B3805C8BD3F1F",1)</f>
        <v>=DISPIMG("ID_AA82E5F717C94212940B3805C8BD3F1F",1)</v>
      </c>
      <c r="G21" s="6" t="s">
        <v>26</v>
      </c>
      <c r="H21" s="4" t="s">
        <v>482</v>
      </c>
      <c r="I21" s="4" t="s">
        <v>482</v>
      </c>
    </row>
    <row r="22" ht="162" customHeight="1" spans="1:9">
      <c r="A22" s="3">
        <v>21</v>
      </c>
      <c r="B22" s="4" t="s">
        <v>95</v>
      </c>
      <c r="C22" s="4" t="s">
        <v>11</v>
      </c>
      <c r="D22" s="4">
        <v>1935.7</v>
      </c>
      <c r="E22" s="4" t="s">
        <v>752</v>
      </c>
      <c r="F22" s="5" t="str">
        <f>_xlfn.DISPIMG("ID_03E3D0CD3BDA456596F999BAAC77499A",1)</f>
        <v>=DISPIMG("ID_03E3D0CD3BDA456596F999BAAC77499A",1)</v>
      </c>
      <c r="G22" s="6" t="s">
        <v>96</v>
      </c>
      <c r="H22" s="4" t="s">
        <v>482</v>
      </c>
      <c r="I22" s="4" t="s">
        <v>482</v>
      </c>
    </row>
    <row r="23" ht="162" customHeight="1" spans="1:9">
      <c r="A23" s="3">
        <v>22</v>
      </c>
      <c r="B23" s="4" t="s">
        <v>561</v>
      </c>
      <c r="C23" s="4" t="s">
        <v>11</v>
      </c>
      <c r="D23" s="4">
        <v>1</v>
      </c>
      <c r="E23" s="4" t="s">
        <v>752</v>
      </c>
      <c r="F23" s="5" t="str">
        <f>_xlfn.DISPIMG("ID_9E363508B6864E2B9BAACE5279E4275B",1)</f>
        <v>=DISPIMG("ID_9E363508B6864E2B9BAACE5279E4275B",1)</v>
      </c>
      <c r="G23" s="6" t="s">
        <v>562</v>
      </c>
      <c r="H23" s="4" t="s">
        <v>482</v>
      </c>
      <c r="I23" s="4" t="s">
        <v>482</v>
      </c>
    </row>
    <row r="24" ht="162" customHeight="1" spans="1:9">
      <c r="A24" s="3">
        <v>23</v>
      </c>
      <c r="B24" s="4" t="s">
        <v>492</v>
      </c>
      <c r="C24" s="4" t="s">
        <v>11</v>
      </c>
      <c r="D24" s="4">
        <v>272.8</v>
      </c>
      <c r="E24" s="4" t="s">
        <v>752</v>
      </c>
      <c r="F24" s="5" t="str">
        <f>_xlfn.DISPIMG("ID_A3EC41B5F98749FD92F8F926EE57B5D0",1)</f>
        <v>=DISPIMG("ID_A3EC41B5F98749FD92F8F926EE57B5D0",1)</v>
      </c>
      <c r="G24" s="6" t="s">
        <v>493</v>
      </c>
      <c r="H24" s="4" t="s">
        <v>485</v>
      </c>
      <c r="I24" s="4" t="s">
        <v>482</v>
      </c>
    </row>
    <row r="25" ht="148.5" customHeight="1" spans="1:9">
      <c r="A25" s="3">
        <v>24</v>
      </c>
      <c r="B25" s="4" t="s">
        <v>99</v>
      </c>
      <c r="C25" s="4" t="s">
        <v>11</v>
      </c>
      <c r="D25" s="4">
        <v>1145.75</v>
      </c>
      <c r="E25" s="4" t="s">
        <v>752</v>
      </c>
      <c r="F25" s="5" t="str">
        <f>_xlfn.DISPIMG("ID_C7C273F6D8ED4F789230E24E3C7EE19C",1)</f>
        <v>=DISPIMG("ID_C7C273F6D8ED4F789230E24E3C7EE19C",1)</v>
      </c>
      <c r="G25" s="6" t="s">
        <v>100</v>
      </c>
      <c r="H25" s="4" t="s">
        <v>485</v>
      </c>
      <c r="I25" s="4" t="s">
        <v>482</v>
      </c>
    </row>
    <row r="26" ht="175.5" customHeight="1" spans="1:9">
      <c r="A26" s="3">
        <v>25</v>
      </c>
      <c r="B26" s="4" t="s">
        <v>101</v>
      </c>
      <c r="C26" s="4" t="s">
        <v>11</v>
      </c>
      <c r="D26" s="4">
        <v>1330.6</v>
      </c>
      <c r="E26" s="4" t="s">
        <v>752</v>
      </c>
      <c r="F26" s="5" t="str">
        <f>_xlfn.DISPIMG("ID_575F3C855971415A9DBFC9923F9400FC",1)</f>
        <v>=DISPIMG("ID_575F3C855971415A9DBFC9923F9400FC",1)</v>
      </c>
      <c r="G26" s="6" t="s">
        <v>102</v>
      </c>
      <c r="H26" s="4" t="s">
        <v>485</v>
      </c>
      <c r="I26" s="4" t="s">
        <v>482</v>
      </c>
    </row>
    <row r="27" ht="162" customHeight="1" spans="1:9">
      <c r="A27" s="3">
        <v>26</v>
      </c>
      <c r="B27" s="4" t="s">
        <v>103</v>
      </c>
      <c r="C27" s="4" t="s">
        <v>11</v>
      </c>
      <c r="D27" s="4">
        <v>871.300000000001</v>
      </c>
      <c r="E27" s="4" t="s">
        <v>752</v>
      </c>
      <c r="F27" s="5" t="str">
        <f>_xlfn.DISPIMG("ID_F4BFCD6EAB5743F49685B28AE29924DF",1)</f>
        <v>=DISPIMG("ID_F4BFCD6EAB5743F49685B28AE29924DF",1)</v>
      </c>
      <c r="G27" s="6" t="s">
        <v>104</v>
      </c>
      <c r="H27" s="4" t="s">
        <v>482</v>
      </c>
      <c r="I27" s="4" t="s">
        <v>482</v>
      </c>
    </row>
    <row r="28" ht="110.15" spans="1:9">
      <c r="A28" s="3">
        <v>27</v>
      </c>
      <c r="B28" s="4" t="s">
        <v>27</v>
      </c>
      <c r="C28" s="4" t="s">
        <v>22</v>
      </c>
      <c r="D28" s="4">
        <v>6942</v>
      </c>
      <c r="E28" s="4" t="s">
        <v>752</v>
      </c>
      <c r="F28" s="5" t="str">
        <f>_xlfn.DISPIMG("ID_89821512E7F74293AF16EADAAD5A1040",1)</f>
        <v>=DISPIMG("ID_89821512E7F74293AF16EADAAD5A1040",1)</v>
      </c>
      <c r="G28" s="6" t="s">
        <v>28</v>
      </c>
      <c r="H28" s="4" t="s">
        <v>482</v>
      </c>
      <c r="I28" s="4" t="s">
        <v>482</v>
      </c>
    </row>
    <row r="29" ht="148.5" customHeight="1" spans="1:9">
      <c r="A29" s="3">
        <v>28</v>
      </c>
      <c r="B29" s="4" t="s">
        <v>71</v>
      </c>
      <c r="C29" s="4" t="s">
        <v>11</v>
      </c>
      <c r="D29" s="4">
        <v>101.05</v>
      </c>
      <c r="E29" s="4" t="s">
        <v>752</v>
      </c>
      <c r="F29" s="5" t="str">
        <f>_xlfn.DISPIMG("ID_5E1868EBE17A490190BABBF0DCF36C17",1)</f>
        <v>=DISPIMG("ID_5E1868EBE17A490190BABBF0DCF36C17",1)</v>
      </c>
      <c r="G29" s="6" t="s">
        <v>72</v>
      </c>
      <c r="H29" s="4" t="s">
        <v>482</v>
      </c>
      <c r="I29" s="4" t="s">
        <v>482</v>
      </c>
    </row>
    <row r="30" ht="162" customHeight="1" spans="1:9">
      <c r="A30" s="3">
        <v>29</v>
      </c>
      <c r="B30" s="4" t="s">
        <v>557</v>
      </c>
      <c r="C30" s="4" t="s">
        <v>11</v>
      </c>
      <c r="D30" s="4">
        <v>1</v>
      </c>
      <c r="E30" s="4" t="s">
        <v>752</v>
      </c>
      <c r="F30" s="5" t="str">
        <f>_xlfn.DISPIMG("ID_F11AF5D8E0E54595AAD70EFDD702E282",1)</f>
        <v>=DISPIMG("ID_F11AF5D8E0E54595AAD70EFDD702E282",1)</v>
      </c>
      <c r="G30" s="6" t="s">
        <v>558</v>
      </c>
      <c r="H30" s="4" t="s">
        <v>482</v>
      </c>
      <c r="I30" s="4" t="s">
        <v>482</v>
      </c>
    </row>
    <row r="31" ht="162" customHeight="1" spans="1:9">
      <c r="A31" s="3">
        <v>30</v>
      </c>
      <c r="B31" s="4" t="s">
        <v>111</v>
      </c>
      <c r="C31" s="4" t="s">
        <v>11</v>
      </c>
      <c r="D31" s="4">
        <v>180.3</v>
      </c>
      <c r="E31" s="4" t="s">
        <v>752</v>
      </c>
      <c r="F31" s="5" t="str">
        <f>_xlfn.DISPIMG("ID_C5609E816CA14E56A98E6DE2C5122819",1)</f>
        <v>=DISPIMG("ID_C5609E816CA14E56A98E6DE2C5122819",1)</v>
      </c>
      <c r="G31" s="6" t="s">
        <v>112</v>
      </c>
      <c r="H31" s="4" t="s">
        <v>485</v>
      </c>
      <c r="I31" s="4" t="s">
        <v>482</v>
      </c>
    </row>
    <row r="32" ht="148.5" customHeight="1" spans="1:9">
      <c r="A32" s="3">
        <v>31</v>
      </c>
      <c r="B32" s="4" t="s">
        <v>64</v>
      </c>
      <c r="C32" s="4" t="s">
        <v>754</v>
      </c>
      <c r="D32" s="4">
        <v>50</v>
      </c>
      <c r="E32" s="4" t="s">
        <v>752</v>
      </c>
      <c r="F32" s="5" t="str">
        <f>_xlfn.DISPIMG("ID_8E2B99566F51413A8CF8460D8D944D02",1)</f>
        <v>=DISPIMG("ID_8E2B99566F51413A8CF8460D8D944D02",1)</v>
      </c>
      <c r="G32" s="6" t="s">
        <v>66</v>
      </c>
      <c r="H32" s="4" t="s">
        <v>755</v>
      </c>
      <c r="I32" s="4" t="s">
        <v>482</v>
      </c>
    </row>
    <row r="33" ht="162" customHeight="1" spans="1:9">
      <c r="A33" s="3">
        <v>32</v>
      </c>
      <c r="B33" s="7" t="s">
        <v>29</v>
      </c>
      <c r="C33" s="7" t="s">
        <v>756</v>
      </c>
      <c r="D33" s="7">
        <v>33</v>
      </c>
      <c r="E33" s="4" t="s">
        <v>752</v>
      </c>
      <c r="F33" s="8" t="str">
        <f>_xlfn.DISPIMG("ID_AD5B5597338D4829A3A22B3EE93F9F2D",1)</f>
        <v>=DISPIMG("ID_AD5B5597338D4829A3A22B3EE93F9F2D",1)</v>
      </c>
      <c r="G33" s="9" t="s">
        <v>31</v>
      </c>
      <c r="H33" s="7" t="s">
        <v>757</v>
      </c>
      <c r="I33" s="7" t="s">
        <v>482</v>
      </c>
    </row>
    <row r="34" ht="162" customHeight="1" spans="1:9">
      <c r="A34" s="3">
        <v>33</v>
      </c>
      <c r="B34" s="7" t="s">
        <v>62</v>
      </c>
      <c r="C34" s="7" t="s">
        <v>11</v>
      </c>
      <c r="D34" s="7">
        <v>325.2</v>
      </c>
      <c r="E34" s="4" t="s">
        <v>752</v>
      </c>
      <c r="F34" s="8" t="str">
        <f>_xlfn.DISPIMG("ID_4082010B03A54C3B870A696D40F2AA3D",1)</f>
        <v>=DISPIMG("ID_4082010B03A54C3B870A696D40F2AA3D",1)</v>
      </c>
      <c r="G34" s="9" t="s">
        <v>63</v>
      </c>
      <c r="H34" s="7" t="s">
        <v>482</v>
      </c>
      <c r="I34" s="7" t="s">
        <v>482</v>
      </c>
    </row>
    <row r="35" ht="162" customHeight="1" spans="1:9">
      <c r="A35" s="3">
        <v>34</v>
      </c>
      <c r="B35" s="7" t="s">
        <v>67</v>
      </c>
      <c r="C35" s="7" t="s">
        <v>11</v>
      </c>
      <c r="D35" s="7">
        <v>403.05</v>
      </c>
      <c r="E35" s="4" t="s">
        <v>752</v>
      </c>
      <c r="F35" s="8" t="str">
        <f>_xlfn.DISPIMG("ID_5A4C3971F11A4717B2BB32E76ACAB709",1)</f>
        <v>=DISPIMG("ID_5A4C3971F11A4717B2BB32E76ACAB709",1)</v>
      </c>
      <c r="G35" s="9" t="s">
        <v>68</v>
      </c>
      <c r="H35" s="7" t="s">
        <v>482</v>
      </c>
      <c r="I35" s="7" t="s">
        <v>482</v>
      </c>
    </row>
    <row r="36" ht="162" customHeight="1" spans="1:9">
      <c r="A36" s="3">
        <v>35</v>
      </c>
      <c r="B36" s="4" t="s">
        <v>364</v>
      </c>
      <c r="C36" s="4" t="s">
        <v>11</v>
      </c>
      <c r="D36" s="4">
        <v>375.65</v>
      </c>
      <c r="E36" s="4" t="s">
        <v>752</v>
      </c>
      <c r="F36" s="10" t="str">
        <f>_xlfn.DISPIMG("ID_D6E05598162148CB886638B6099D2A26",1)</f>
        <v>=DISPIMG("ID_D6E05598162148CB886638B6099D2A26",1)</v>
      </c>
      <c r="G36" s="6" t="s">
        <v>365</v>
      </c>
      <c r="H36" s="4" t="s">
        <v>482</v>
      </c>
      <c r="I36" s="4" t="s">
        <v>482</v>
      </c>
    </row>
    <row r="37" ht="162" customHeight="1" spans="1:9">
      <c r="A37" s="3">
        <v>36</v>
      </c>
      <c r="B37" s="4" t="s">
        <v>519</v>
      </c>
      <c r="C37" s="4" t="s">
        <v>160</v>
      </c>
      <c r="D37" s="4">
        <v>651</v>
      </c>
      <c r="E37" s="4" t="s">
        <v>752</v>
      </c>
      <c r="F37" s="5" t="str">
        <f>_xlfn.DISPIMG("ID_778CF43770B144AE88B074C515A29783",1)</f>
        <v>=DISPIMG("ID_778CF43770B144AE88B074C515A29783",1)</v>
      </c>
      <c r="G37" s="6" t="s">
        <v>521</v>
      </c>
      <c r="H37" s="4" t="s">
        <v>485</v>
      </c>
      <c r="I37" s="4" t="s">
        <v>758</v>
      </c>
    </row>
    <row r="38" ht="139.55" spans="1:9">
      <c r="A38" s="3">
        <v>37</v>
      </c>
      <c r="B38" s="4" t="s">
        <v>511</v>
      </c>
      <c r="C38" s="4" t="s">
        <v>11</v>
      </c>
      <c r="D38" s="4">
        <v>51.9</v>
      </c>
      <c r="E38" s="4" t="s">
        <v>752</v>
      </c>
      <c r="F38" s="5" t="str">
        <f>_xlfn.DISPIMG("ID_989A6139473D4229BDCC33B70A9C1A5D",1)</f>
        <v>=DISPIMG("ID_989A6139473D4229BDCC33B70A9C1A5D",1)</v>
      </c>
      <c r="G38" s="6" t="s">
        <v>512</v>
      </c>
      <c r="H38" s="4" t="s">
        <v>759</v>
      </c>
      <c r="I38" s="4" t="s">
        <v>482</v>
      </c>
    </row>
    <row r="39" ht="162" customHeight="1" spans="1:9">
      <c r="A39" s="3">
        <v>38</v>
      </c>
      <c r="B39" s="4" t="s">
        <v>480</v>
      </c>
      <c r="C39" s="4" t="s">
        <v>11</v>
      </c>
      <c r="D39" s="4">
        <v>616</v>
      </c>
      <c r="E39" s="4" t="s">
        <v>752</v>
      </c>
      <c r="F39" s="5" t="str">
        <f>_xlfn.DISPIMG("ID_AD6BE3D123044FCCB6917D6DE6215B6C",1)</f>
        <v>=DISPIMG("ID_AD6BE3D123044FCCB6917D6DE6215B6C",1)</v>
      </c>
      <c r="G39" s="6" t="s">
        <v>481</v>
      </c>
      <c r="H39" s="4" t="s">
        <v>482</v>
      </c>
      <c r="I39" s="4" t="s">
        <v>482</v>
      </c>
    </row>
    <row r="40" ht="175.5" customHeight="1" spans="1:9">
      <c r="A40" s="3">
        <v>39</v>
      </c>
      <c r="B40" s="4" t="s">
        <v>450</v>
      </c>
      <c r="C40" s="4" t="s">
        <v>11</v>
      </c>
      <c r="D40" s="4">
        <v>100</v>
      </c>
      <c r="E40" s="4" t="s">
        <v>760</v>
      </c>
      <c r="F40" s="5" t="str">
        <f>_xlfn.DISPIMG("ID_BD557B08A4F54D53865299A118AEF04F",1)</f>
        <v>=DISPIMG("ID_BD557B08A4F54D53865299A118AEF04F",1)</v>
      </c>
      <c r="G40" s="6" t="s">
        <v>451</v>
      </c>
      <c r="H40" s="4" t="s">
        <v>482</v>
      </c>
      <c r="I40" s="4" t="s">
        <v>482</v>
      </c>
    </row>
    <row r="41" ht="121.5" customHeight="1" spans="1:9">
      <c r="A41" s="3">
        <v>40</v>
      </c>
      <c r="B41" s="4" t="s">
        <v>422</v>
      </c>
      <c r="C41" s="4" t="s">
        <v>11</v>
      </c>
      <c r="D41" s="4">
        <v>5.7</v>
      </c>
      <c r="E41" s="4" t="s">
        <v>760</v>
      </c>
      <c r="F41" s="5" t="str">
        <f>_xlfn.DISPIMG("ID_5BEBEB5364CB4CF08588FADD066C44CA",1)</f>
        <v>=DISPIMG("ID_5BEBEB5364CB4CF08588FADD066C44CA",1)</v>
      </c>
      <c r="G41" s="6" t="s">
        <v>423</v>
      </c>
      <c r="H41" s="4" t="s">
        <v>482</v>
      </c>
      <c r="I41" s="4" t="s">
        <v>482</v>
      </c>
    </row>
    <row r="42" ht="162" customHeight="1" spans="1:9">
      <c r="A42" s="3">
        <v>41</v>
      </c>
      <c r="B42" s="4" t="s">
        <v>458</v>
      </c>
      <c r="C42" s="4" t="s">
        <v>11</v>
      </c>
      <c r="D42" s="4">
        <v>50</v>
      </c>
      <c r="E42" s="4" t="s">
        <v>760</v>
      </c>
      <c r="F42" s="5" t="str">
        <f>_xlfn.DISPIMG("ID_1EBC753AC5734545855D3296A5212D4F",1)</f>
        <v>=DISPIMG("ID_1EBC753AC5734545855D3296A5212D4F",1)</v>
      </c>
      <c r="G42" s="6" t="s">
        <v>459</v>
      </c>
      <c r="H42" s="4" t="s">
        <v>482</v>
      </c>
      <c r="I42" s="4" t="s">
        <v>482</v>
      </c>
    </row>
    <row r="43" ht="162" customHeight="1" spans="1:9">
      <c r="A43" s="3">
        <v>42</v>
      </c>
      <c r="B43" s="4" t="s">
        <v>447</v>
      </c>
      <c r="C43" s="4" t="s">
        <v>11</v>
      </c>
      <c r="D43" s="4">
        <v>0.5</v>
      </c>
      <c r="E43" s="4" t="s">
        <v>760</v>
      </c>
      <c r="F43" s="5" t="str">
        <f>_xlfn.DISPIMG("ID_E6B323F2A1734D23B0FC897645DB921E",1)</f>
        <v>=DISPIMG("ID_E6B323F2A1734D23B0FC897645DB921E",1)</v>
      </c>
      <c r="G43" s="6" t="s">
        <v>449</v>
      </c>
      <c r="H43" s="4" t="s">
        <v>482</v>
      </c>
      <c r="I43" s="4" t="s">
        <v>482</v>
      </c>
    </row>
    <row r="44" ht="148.5" customHeight="1" spans="1:9">
      <c r="A44" s="3">
        <v>43</v>
      </c>
      <c r="B44" s="4" t="s">
        <v>417</v>
      </c>
      <c r="C44" s="4" t="s">
        <v>11</v>
      </c>
      <c r="D44" s="4">
        <v>4.3</v>
      </c>
      <c r="E44" s="4" t="s">
        <v>760</v>
      </c>
      <c r="F44" s="5" t="str">
        <f>_xlfn.DISPIMG("ID_87A95EB0CC2143BA908778DD29139DBF",1)</f>
        <v>=DISPIMG("ID_87A95EB0CC2143BA908778DD29139DBF",1)</v>
      </c>
      <c r="G44" s="6" t="s">
        <v>419</v>
      </c>
      <c r="H44" s="4" t="s">
        <v>482</v>
      </c>
      <c r="I44" s="4" t="s">
        <v>482</v>
      </c>
    </row>
    <row r="45" ht="175.5" customHeight="1" spans="1:9">
      <c r="A45" s="3">
        <v>44</v>
      </c>
      <c r="B45" s="4" t="s">
        <v>188</v>
      </c>
      <c r="C45" s="4" t="s">
        <v>11</v>
      </c>
      <c r="D45" s="4">
        <v>80</v>
      </c>
      <c r="E45" s="4" t="s">
        <v>760</v>
      </c>
      <c r="F45" s="5" t="str">
        <f>_xlfn.DISPIMG("ID_C0550EC4313C4D1DAAD3D74B05D23C14",1)</f>
        <v>=DISPIMG("ID_C0550EC4313C4D1DAAD3D74B05D23C14",1)</v>
      </c>
      <c r="G45" s="6" t="s">
        <v>189</v>
      </c>
      <c r="H45" s="4" t="s">
        <v>482</v>
      </c>
      <c r="I45" s="4" t="s">
        <v>482</v>
      </c>
    </row>
    <row r="46" ht="148.5" customHeight="1" spans="1:9">
      <c r="A46" s="3">
        <v>45</v>
      </c>
      <c r="B46" s="4" t="s">
        <v>420</v>
      </c>
      <c r="C46" s="4" t="s">
        <v>11</v>
      </c>
      <c r="D46" s="4">
        <v>9.45</v>
      </c>
      <c r="E46" s="4" t="s">
        <v>760</v>
      </c>
      <c r="F46" s="5" t="str">
        <f>_xlfn.DISPIMG("ID_94E177CF4C6F4A55A8BDA067DFCF7C1D",1)</f>
        <v>=DISPIMG("ID_94E177CF4C6F4A55A8BDA067DFCF7C1D",1)</v>
      </c>
      <c r="G46" s="6" t="s">
        <v>421</v>
      </c>
      <c r="H46" s="4" t="s">
        <v>482</v>
      </c>
      <c r="I46" s="4" t="s">
        <v>482</v>
      </c>
    </row>
    <row r="47" ht="175.5" customHeight="1" spans="1:9">
      <c r="A47" s="3">
        <v>46</v>
      </c>
      <c r="B47" s="4" t="s">
        <v>424</v>
      </c>
      <c r="C47" s="4" t="s">
        <v>11</v>
      </c>
      <c r="D47" s="4">
        <v>50</v>
      </c>
      <c r="E47" s="4" t="s">
        <v>760</v>
      </c>
      <c r="F47" s="11" t="str">
        <f>_xlfn.DISPIMG("ID_28D82D7DE4334B18BBE1836F6C6D9B0D",1)</f>
        <v>=DISPIMG("ID_28D82D7DE4334B18BBE1836F6C6D9B0D",1)</v>
      </c>
      <c r="G47" s="6" t="s">
        <v>425</v>
      </c>
      <c r="H47" s="4" t="s">
        <v>482</v>
      </c>
      <c r="I47" s="4" t="s">
        <v>482</v>
      </c>
    </row>
    <row r="48" ht="162" customHeight="1" spans="1:9">
      <c r="A48" s="3">
        <v>47</v>
      </c>
      <c r="B48" s="4" t="s">
        <v>452</v>
      </c>
      <c r="C48" s="4" t="s">
        <v>11</v>
      </c>
      <c r="D48" s="4">
        <v>100</v>
      </c>
      <c r="E48" s="4" t="s">
        <v>760</v>
      </c>
      <c r="F48" s="5" t="str">
        <f>_xlfn.DISPIMG("ID_9A4E3ABD1D2841D28905509416FC0ED6",1)</f>
        <v>=DISPIMG("ID_9A4E3ABD1D2841D28905509416FC0ED6",1)</v>
      </c>
      <c r="G48" s="6" t="s">
        <v>453</v>
      </c>
      <c r="H48" s="4" t="s">
        <v>482</v>
      </c>
      <c r="I48" s="4" t="s">
        <v>482</v>
      </c>
    </row>
    <row r="49" ht="162" customHeight="1" spans="1:9">
      <c r="A49" s="3">
        <v>48</v>
      </c>
      <c r="B49" s="4" t="s">
        <v>456</v>
      </c>
      <c r="C49" s="4" t="s">
        <v>11</v>
      </c>
      <c r="D49" s="4">
        <v>100</v>
      </c>
      <c r="E49" s="4" t="s">
        <v>760</v>
      </c>
      <c r="F49" s="5" t="str">
        <f>_xlfn.DISPIMG("ID_A470529FB8E74CCAAE8C63EE9EAD95B3",1)</f>
        <v>=DISPIMG("ID_A470529FB8E74CCAAE8C63EE9EAD95B3",1)</v>
      </c>
      <c r="G49" s="6" t="s">
        <v>457</v>
      </c>
      <c r="H49" s="4" t="s">
        <v>482</v>
      </c>
      <c r="I49" s="4" t="s">
        <v>482</v>
      </c>
    </row>
    <row r="50" ht="162" customHeight="1" spans="1:9">
      <c r="A50" s="3">
        <v>49</v>
      </c>
      <c r="B50" s="4" t="s">
        <v>454</v>
      </c>
      <c r="C50" s="4" t="s">
        <v>11</v>
      </c>
      <c r="D50" s="4">
        <v>100</v>
      </c>
      <c r="E50" s="4" t="s">
        <v>760</v>
      </c>
      <c r="F50" s="5" t="str">
        <f>_xlfn.DISPIMG("ID_E5BC904CAF9D452CAE7239ABAA028B65",1)</f>
        <v>=DISPIMG("ID_E5BC904CAF9D452CAE7239ABAA028B65",1)</v>
      </c>
      <c r="G50" s="6" t="s">
        <v>455</v>
      </c>
      <c r="H50" s="4" t="s">
        <v>482</v>
      </c>
      <c r="I50" s="4" t="s">
        <v>482</v>
      </c>
    </row>
    <row r="51" ht="175.5" customHeight="1" spans="1:9">
      <c r="A51" s="3">
        <v>50</v>
      </c>
      <c r="B51" s="4" t="s">
        <v>445</v>
      </c>
      <c r="C51" s="4" t="s">
        <v>11</v>
      </c>
      <c r="D51" s="4">
        <v>0.1</v>
      </c>
      <c r="E51" s="4" t="s">
        <v>760</v>
      </c>
      <c r="F51" s="5" t="str">
        <f>_xlfn.DISPIMG("ID_B45928BFF32341A496F2D6E015B5EA1C",1)</f>
        <v>=DISPIMG("ID_B45928BFF32341A496F2D6E015B5EA1C",1)</v>
      </c>
      <c r="G51" s="6" t="s">
        <v>446</v>
      </c>
      <c r="H51" s="4" t="s">
        <v>482</v>
      </c>
      <c r="I51" s="4" t="s">
        <v>482</v>
      </c>
    </row>
    <row r="52" ht="162" customHeight="1" spans="1:9">
      <c r="A52" s="3">
        <v>51</v>
      </c>
      <c r="B52" s="4" t="s">
        <v>475</v>
      </c>
      <c r="C52" s="4" t="s">
        <v>11</v>
      </c>
      <c r="D52" s="4">
        <v>50</v>
      </c>
      <c r="E52" s="4" t="s">
        <v>760</v>
      </c>
      <c r="F52" s="5" t="str">
        <f>_xlfn.DISPIMG("ID_20D8FF2CF9B34AD8AA9A5C4F8F8C4D96",1)</f>
        <v>=DISPIMG("ID_20D8FF2CF9B34AD8AA9A5C4F8F8C4D96",1)</v>
      </c>
      <c r="G52" s="6" t="s">
        <v>476</v>
      </c>
      <c r="H52" s="4" t="s">
        <v>482</v>
      </c>
      <c r="I52" s="4" t="s">
        <v>477</v>
      </c>
    </row>
    <row r="53" ht="270" customHeight="1" spans="1:9">
      <c r="A53" s="3">
        <v>52</v>
      </c>
      <c r="B53" s="4" t="s">
        <v>343</v>
      </c>
      <c r="C53" s="4" t="s">
        <v>11</v>
      </c>
      <c r="D53" s="4">
        <v>4.15</v>
      </c>
      <c r="E53" s="4" t="s">
        <v>760</v>
      </c>
      <c r="F53" s="10" t="str">
        <f>_xlfn.DISPIMG("ID_B91CD64F5D40488180DB01D3919AE36F",1)</f>
        <v>=DISPIMG("ID_B91CD64F5D40488180DB01D3919AE36F",1)</v>
      </c>
      <c r="G53" s="6" t="s">
        <v>344</v>
      </c>
      <c r="H53" s="4" t="s">
        <v>482</v>
      </c>
      <c r="I53" s="4" t="s">
        <v>482</v>
      </c>
    </row>
    <row r="54" ht="148.5" customHeight="1" spans="1:9">
      <c r="A54" s="3">
        <v>53</v>
      </c>
      <c r="B54" s="4" t="s">
        <v>559</v>
      </c>
      <c r="C54" s="4" t="s">
        <v>11</v>
      </c>
      <c r="D54" s="4">
        <v>1</v>
      </c>
      <c r="E54" s="4" t="s">
        <v>760</v>
      </c>
      <c r="F54" s="5" t="str">
        <f>_xlfn.DISPIMG("ID_0F23DB6A40904FBDA1B7BF4A0B9E0AD0",1)</f>
        <v>=DISPIMG("ID_0F23DB6A40904FBDA1B7BF4A0B9E0AD0",1)</v>
      </c>
      <c r="G54" s="6" t="s">
        <v>560</v>
      </c>
      <c r="H54" s="4" t="s">
        <v>482</v>
      </c>
      <c r="I54" s="4" t="s">
        <v>482</v>
      </c>
    </row>
    <row r="55" ht="216" customHeight="1" spans="1:9">
      <c r="A55" s="3">
        <v>54</v>
      </c>
      <c r="B55" s="4" t="s">
        <v>426</v>
      </c>
      <c r="C55" s="4" t="s">
        <v>11</v>
      </c>
      <c r="D55" s="4">
        <v>50</v>
      </c>
      <c r="E55" s="4" t="s">
        <v>760</v>
      </c>
      <c r="F55" s="11" t="str">
        <f>_xlfn.DISPIMG("ID_C71F68FD8522421F9DBE02251D28E4EC",1)</f>
        <v>=DISPIMG("ID_C71F68FD8522421F9DBE02251D28E4EC",1)</v>
      </c>
      <c r="G55" s="6" t="s">
        <v>427</v>
      </c>
      <c r="H55" s="4" t="s">
        <v>482</v>
      </c>
      <c r="I55" s="4" t="s">
        <v>482</v>
      </c>
    </row>
    <row r="56" ht="162" customHeight="1" spans="1:9">
      <c r="A56" s="3">
        <v>55</v>
      </c>
      <c r="B56" s="4" t="s">
        <v>143</v>
      </c>
      <c r="C56" s="4" t="s">
        <v>11</v>
      </c>
      <c r="D56" s="4">
        <v>154.45</v>
      </c>
      <c r="E56" s="4" t="s">
        <v>761</v>
      </c>
      <c r="F56" s="5" t="str">
        <f>_xlfn.DISPIMG("ID_223D6A5881F448B493EE3A6B37693A98",1)</f>
        <v>=DISPIMG("ID_223D6A5881F448B493EE3A6B37693A98",1)</v>
      </c>
      <c r="G56" s="6" t="s">
        <v>144</v>
      </c>
      <c r="H56" s="4" t="s">
        <v>482</v>
      </c>
      <c r="I56" s="4" t="s">
        <v>482</v>
      </c>
    </row>
    <row r="57" ht="148.5" customHeight="1" spans="1:9">
      <c r="A57" s="3">
        <v>56</v>
      </c>
      <c r="B57" s="4" t="s">
        <v>546</v>
      </c>
      <c r="C57" s="4" t="s">
        <v>11</v>
      </c>
      <c r="D57" s="4">
        <v>1</v>
      </c>
      <c r="E57" s="4" t="s">
        <v>752</v>
      </c>
      <c r="F57" s="5" t="str">
        <f>_xlfn.DISPIMG("ID_11E623436B1348698CF923A3647CC669",1)</f>
        <v>=DISPIMG("ID_11E623436B1348698CF923A3647CC669",1)</v>
      </c>
      <c r="G57" s="6" t="s">
        <v>547</v>
      </c>
      <c r="H57" s="4" t="s">
        <v>548</v>
      </c>
      <c r="I57" s="4" t="s">
        <v>482</v>
      </c>
    </row>
    <row r="58" ht="135" customHeight="1" spans="1:9">
      <c r="A58" s="3">
        <v>57</v>
      </c>
      <c r="B58" s="4" t="s">
        <v>762</v>
      </c>
      <c r="C58" s="4" t="s">
        <v>11</v>
      </c>
      <c r="D58" s="4">
        <v>60</v>
      </c>
      <c r="E58" s="4" t="s">
        <v>761</v>
      </c>
      <c r="F58" s="5" t="str">
        <f>_xlfn.DISPIMG("ID_F5CD66C68D07475D8E2BBC778ADFCD70",1)</f>
        <v>=DISPIMG("ID_F5CD66C68D07475D8E2BBC778ADFCD70",1)</v>
      </c>
      <c r="G58" s="6" t="s">
        <v>148</v>
      </c>
      <c r="H58" s="4" t="s">
        <v>482</v>
      </c>
      <c r="I58" s="4" t="s">
        <v>482</v>
      </c>
    </row>
    <row r="59" ht="162" customHeight="1" spans="1:9">
      <c r="A59" s="3">
        <v>58</v>
      </c>
      <c r="B59" s="4" t="s">
        <v>122</v>
      </c>
      <c r="C59" s="4" t="s">
        <v>11</v>
      </c>
      <c r="D59" s="4">
        <v>463.85</v>
      </c>
      <c r="E59" s="4" t="s">
        <v>761</v>
      </c>
      <c r="F59" s="5" t="str">
        <f>_xlfn.DISPIMG("ID_C9608A3D50B141ED9330245040A5D417",1)</f>
        <v>=DISPIMG("ID_C9608A3D50B141ED9330245040A5D417",1)</v>
      </c>
      <c r="G59" s="6" t="s">
        <v>123</v>
      </c>
      <c r="H59" s="4" t="s">
        <v>482</v>
      </c>
      <c r="I59" s="4" t="s">
        <v>482</v>
      </c>
    </row>
    <row r="60" ht="202.5" customHeight="1" spans="1:9">
      <c r="A60" s="3">
        <v>59</v>
      </c>
      <c r="B60" s="7" t="s">
        <v>486</v>
      </c>
      <c r="C60" s="7" t="s">
        <v>11</v>
      </c>
      <c r="D60" s="7">
        <v>286.45</v>
      </c>
      <c r="E60" s="4" t="s">
        <v>761</v>
      </c>
      <c r="F60" s="8" t="str">
        <f>_xlfn.DISPIMG("ID_4CDF50548CBC47D2B975B3DF1203F058",1)</f>
        <v>=DISPIMG("ID_4CDF50548CBC47D2B975B3DF1203F058",1)</v>
      </c>
      <c r="G60" s="9" t="s">
        <v>15</v>
      </c>
      <c r="H60" s="7" t="s">
        <v>482</v>
      </c>
      <c r="I60" s="7" t="s">
        <v>482</v>
      </c>
    </row>
    <row r="61" ht="310.5" customHeight="1" spans="1:9">
      <c r="A61" s="3">
        <v>60</v>
      </c>
      <c r="B61" s="4" t="s">
        <v>75</v>
      </c>
      <c r="C61" s="4" t="s">
        <v>11</v>
      </c>
      <c r="D61" s="4">
        <v>51.6</v>
      </c>
      <c r="E61" s="4" t="s">
        <v>761</v>
      </c>
      <c r="F61" s="5" t="str">
        <f>_xlfn.DISPIMG("ID_523B643348F04276B7B07D7F1319E794",1)</f>
        <v>=DISPIMG("ID_523B643348F04276B7B07D7F1319E794",1)</v>
      </c>
      <c r="G61" s="6" t="s">
        <v>76</v>
      </c>
      <c r="H61" s="4" t="s">
        <v>482</v>
      </c>
      <c r="I61" s="4" t="s">
        <v>482</v>
      </c>
    </row>
    <row r="62" ht="162" customHeight="1" spans="1:9">
      <c r="A62" s="3">
        <v>61</v>
      </c>
      <c r="B62" s="4" t="s">
        <v>603</v>
      </c>
      <c r="C62" s="4" t="s">
        <v>11</v>
      </c>
      <c r="D62" s="4">
        <v>68.5</v>
      </c>
      <c r="E62" s="4" t="s">
        <v>761</v>
      </c>
      <c r="F62" s="5" t="str">
        <f>_xlfn.DISPIMG("ID_0CD9DA6C72764F4792F5C4F7A2EA0ECE",1)</f>
        <v>=DISPIMG("ID_0CD9DA6C72764F4792F5C4F7A2EA0ECE",1)</v>
      </c>
      <c r="G62" s="6" t="s">
        <v>604</v>
      </c>
      <c r="H62" s="4" t="s">
        <v>482</v>
      </c>
      <c r="I62" s="4" t="s">
        <v>482</v>
      </c>
    </row>
    <row r="63" ht="162" customHeight="1" spans="1:9">
      <c r="A63" s="3">
        <v>62</v>
      </c>
      <c r="B63" s="4" t="s">
        <v>498</v>
      </c>
      <c r="C63" s="4" t="s">
        <v>11</v>
      </c>
      <c r="D63" s="4">
        <v>93.55</v>
      </c>
      <c r="E63" s="4" t="s">
        <v>761</v>
      </c>
      <c r="F63" s="5" t="str">
        <f>_xlfn.DISPIMG("ID_EDBCE780B0D54817A1658EC813B2E3E8",1)</f>
        <v>=DISPIMG("ID_EDBCE780B0D54817A1658EC813B2E3E8",1)</v>
      </c>
      <c r="G63" s="6" t="s">
        <v>499</v>
      </c>
      <c r="H63" s="4" t="s">
        <v>485</v>
      </c>
      <c r="I63" s="4" t="s">
        <v>482</v>
      </c>
    </row>
    <row r="64" ht="162" customHeight="1" spans="1:9">
      <c r="A64" s="3">
        <v>63</v>
      </c>
      <c r="B64" s="4" t="s">
        <v>763</v>
      </c>
      <c r="C64" s="4" t="s">
        <v>11</v>
      </c>
      <c r="D64" s="4">
        <v>20</v>
      </c>
      <c r="E64" s="4" t="s">
        <v>761</v>
      </c>
      <c r="F64" s="11" t="str">
        <f>_xlfn.DISPIMG("ID_449FE1535A024103A8D574260EB1E32F",1)</f>
        <v>=DISPIMG("ID_449FE1535A024103A8D574260EB1E32F",1)</v>
      </c>
      <c r="G64" s="6" t="s">
        <v>291</v>
      </c>
      <c r="H64" s="4" t="s">
        <v>482</v>
      </c>
      <c r="I64" s="4" t="s">
        <v>482</v>
      </c>
    </row>
    <row r="65" ht="216" customHeight="1" spans="1:9">
      <c r="A65" s="3">
        <v>64</v>
      </c>
      <c r="B65" s="4" t="s">
        <v>77</v>
      </c>
      <c r="C65" s="4" t="s">
        <v>11</v>
      </c>
      <c r="D65" s="4">
        <v>164.85</v>
      </c>
      <c r="E65" s="4" t="s">
        <v>761</v>
      </c>
      <c r="F65" s="5" t="str">
        <f>_xlfn.DISPIMG("ID_80FF065EC3CD48BBAE0BD177E0F6A029",1)</f>
        <v>=DISPIMG("ID_80FF065EC3CD48BBAE0BD177E0F6A029",1)</v>
      </c>
      <c r="G65" s="6" t="s">
        <v>78</v>
      </c>
      <c r="H65" s="4" t="s">
        <v>482</v>
      </c>
      <c r="I65" s="4" t="s">
        <v>482</v>
      </c>
    </row>
    <row r="66" ht="162" customHeight="1" spans="1:9">
      <c r="A66" s="3">
        <v>65</v>
      </c>
      <c r="B66" s="4" t="s">
        <v>79</v>
      </c>
      <c r="C66" s="4" t="s">
        <v>11</v>
      </c>
      <c r="D66" s="4">
        <v>321.45</v>
      </c>
      <c r="E66" s="4" t="s">
        <v>761</v>
      </c>
      <c r="F66" s="5" t="str">
        <f>_xlfn.DISPIMG("ID_BCCE73415EDA44FFAD2EA84C7D99EF7E",1)</f>
        <v>=DISPIMG("ID_BCCE73415EDA44FFAD2EA84C7D99EF7E",1)</v>
      </c>
      <c r="G66" s="6" t="s">
        <v>80</v>
      </c>
      <c r="H66" s="4" t="s">
        <v>482</v>
      </c>
      <c r="I66" s="4" t="s">
        <v>482</v>
      </c>
    </row>
    <row r="67" ht="162" customHeight="1" spans="1:9">
      <c r="A67" s="3">
        <v>66</v>
      </c>
      <c r="B67" s="4" t="s">
        <v>526</v>
      </c>
      <c r="C67" s="4" t="s">
        <v>11</v>
      </c>
      <c r="D67" s="4">
        <v>21</v>
      </c>
      <c r="E67" s="4" t="s">
        <v>761</v>
      </c>
      <c r="F67" s="5" t="str">
        <f>_xlfn.DISPIMG("ID_8E0862250C3C4785BC188B214763F027",1)</f>
        <v>=DISPIMG("ID_8E0862250C3C4785BC188B214763F027",1)</v>
      </c>
      <c r="G67" s="6" t="s">
        <v>527</v>
      </c>
      <c r="H67" s="4" t="s">
        <v>482</v>
      </c>
      <c r="I67" s="4" t="s">
        <v>482</v>
      </c>
    </row>
    <row r="68" ht="162" customHeight="1" spans="1:9">
      <c r="A68" s="3">
        <v>67</v>
      </c>
      <c r="B68" s="4" t="s">
        <v>16</v>
      </c>
      <c r="C68" s="4" t="s">
        <v>11</v>
      </c>
      <c r="D68" s="4">
        <v>5</v>
      </c>
      <c r="E68" s="4" t="s">
        <v>761</v>
      </c>
      <c r="F68" s="5" t="str">
        <f>_xlfn.DISPIMG("ID_3FFCA48757984019BB0FA1460138A16A",1)</f>
        <v>=DISPIMG("ID_3FFCA48757984019BB0FA1460138A16A",1)</v>
      </c>
      <c r="G68" s="6" t="s">
        <v>18</v>
      </c>
      <c r="H68" s="4" t="s">
        <v>482</v>
      </c>
      <c r="I68" s="4" t="s">
        <v>482</v>
      </c>
    </row>
    <row r="69" ht="148.5" customHeight="1" spans="1:9">
      <c r="A69" s="3">
        <v>68</v>
      </c>
      <c r="B69" s="4" t="s">
        <v>81</v>
      </c>
      <c r="C69" s="4" t="s">
        <v>82</v>
      </c>
      <c r="D69" s="4">
        <v>188</v>
      </c>
      <c r="E69" s="4" t="s">
        <v>761</v>
      </c>
      <c r="F69" s="5" t="str">
        <f>_xlfn.DISPIMG("ID_65E7A22CE1CA48FFBF8D0A440C48FA7B",1)</f>
        <v>=DISPIMG("ID_65E7A22CE1CA48FFBF8D0A440C48FA7B",1)</v>
      </c>
      <c r="G69" s="6" t="s">
        <v>83</v>
      </c>
      <c r="H69" s="4" t="s">
        <v>482</v>
      </c>
      <c r="I69" s="4" t="s">
        <v>482</v>
      </c>
    </row>
    <row r="70" ht="162" customHeight="1" spans="1:9">
      <c r="A70" s="3">
        <v>69</v>
      </c>
      <c r="B70" s="4" t="s">
        <v>34</v>
      </c>
      <c r="C70" s="4" t="s">
        <v>11</v>
      </c>
      <c r="D70" s="4">
        <v>457.3</v>
      </c>
      <c r="E70" s="4" t="s">
        <v>761</v>
      </c>
      <c r="F70" s="5" t="str">
        <f>_xlfn.DISPIMG("ID_1ECA3FED9B75454DBFDA04552485C97B",1)</f>
        <v>=DISPIMG("ID_1ECA3FED9B75454DBFDA04552485C97B",1)</v>
      </c>
      <c r="G70" s="6" t="s">
        <v>35</v>
      </c>
      <c r="H70" s="4" t="s">
        <v>482</v>
      </c>
      <c r="I70" s="4" t="s">
        <v>482</v>
      </c>
    </row>
    <row r="71" ht="216" customHeight="1" spans="1:9">
      <c r="A71" s="3">
        <v>70</v>
      </c>
      <c r="B71" s="4" t="s">
        <v>537</v>
      </c>
      <c r="C71" s="4" t="s">
        <v>11</v>
      </c>
      <c r="D71" s="4">
        <v>25</v>
      </c>
      <c r="E71" s="4" t="s">
        <v>761</v>
      </c>
      <c r="F71" s="5" t="str">
        <f>_xlfn.DISPIMG("ID_8189C537E8D742FABA53A9C2B4256151",1)</f>
        <v>=DISPIMG("ID_8189C537E8D742FABA53A9C2B4256151",1)</v>
      </c>
      <c r="G71" s="6" t="s">
        <v>538</v>
      </c>
      <c r="H71" s="4" t="s">
        <v>482</v>
      </c>
      <c r="I71" s="4" t="s">
        <v>482</v>
      </c>
    </row>
    <row r="72" ht="162" customHeight="1" spans="1:9">
      <c r="A72" s="3">
        <v>71</v>
      </c>
      <c r="B72" s="4" t="s">
        <v>48</v>
      </c>
      <c r="C72" s="4" t="s">
        <v>11</v>
      </c>
      <c r="D72" s="4">
        <v>167.55</v>
      </c>
      <c r="E72" s="4" t="s">
        <v>761</v>
      </c>
      <c r="F72" s="5" t="str">
        <f>_xlfn.DISPIMG("ID_A70FE44AEC484147B3A1A69907B08455",1)</f>
        <v>=DISPIMG("ID_A70FE44AEC484147B3A1A69907B08455",1)</v>
      </c>
      <c r="G72" s="6" t="s">
        <v>49</v>
      </c>
      <c r="H72" s="4" t="s">
        <v>482</v>
      </c>
      <c r="I72" s="4" t="s">
        <v>482</v>
      </c>
    </row>
    <row r="73" ht="175.5" customHeight="1" spans="1:9">
      <c r="A73" s="3">
        <v>72</v>
      </c>
      <c r="B73" s="4" t="s">
        <v>36</v>
      </c>
      <c r="C73" s="4" t="s">
        <v>11</v>
      </c>
      <c r="D73" s="4">
        <v>74.55</v>
      </c>
      <c r="E73" s="4" t="s">
        <v>761</v>
      </c>
      <c r="F73" s="5" t="str">
        <f>_xlfn.DISPIMG("ID_5916AAD167F7432986F2F4330F52C203",1)</f>
        <v>=DISPIMG("ID_5916AAD167F7432986F2F4330F52C203",1)</v>
      </c>
      <c r="G73" s="6" t="s">
        <v>37</v>
      </c>
      <c r="H73" s="4" t="s">
        <v>485</v>
      </c>
      <c r="I73" s="4" t="s">
        <v>482</v>
      </c>
    </row>
    <row r="74" ht="175.5" customHeight="1" spans="1:9">
      <c r="A74" s="3">
        <v>73</v>
      </c>
      <c r="B74" s="4" t="s">
        <v>38</v>
      </c>
      <c r="C74" s="4" t="s">
        <v>11</v>
      </c>
      <c r="D74" s="4">
        <v>1277.75</v>
      </c>
      <c r="E74" s="4" t="s">
        <v>761</v>
      </c>
      <c r="F74" s="5" t="str">
        <f>_xlfn.DISPIMG("ID_EE55E6DF641346AAB2C75B2143E5E7DF",1)</f>
        <v>=DISPIMG("ID_EE55E6DF641346AAB2C75B2143E5E7DF",1)</v>
      </c>
      <c r="G74" s="6" t="s">
        <v>39</v>
      </c>
      <c r="H74" s="4" t="s">
        <v>482</v>
      </c>
      <c r="I74" s="4" t="s">
        <v>482</v>
      </c>
    </row>
    <row r="75" ht="83.2" spans="1:9">
      <c r="A75" s="3">
        <v>74</v>
      </c>
      <c r="B75" s="4" t="s">
        <v>40</v>
      </c>
      <c r="C75" s="4" t="s">
        <v>11</v>
      </c>
      <c r="D75" s="4">
        <v>2157.6</v>
      </c>
      <c r="E75" s="4" t="s">
        <v>761</v>
      </c>
      <c r="F75" s="5" t="str">
        <f>_xlfn.DISPIMG("ID_65D81C1521DD49CB9BEDB2D02911B92C",1)</f>
        <v>=DISPIMG("ID_65D81C1521DD49CB9BEDB2D02911B92C",1)</v>
      </c>
      <c r="G75" s="6" t="s">
        <v>41</v>
      </c>
      <c r="H75" s="4" t="s">
        <v>482</v>
      </c>
      <c r="I75" s="4" t="s">
        <v>482</v>
      </c>
    </row>
    <row r="76" ht="175.5" customHeight="1" spans="1:9">
      <c r="A76" s="3">
        <v>75</v>
      </c>
      <c r="B76" s="7" t="s">
        <v>42</v>
      </c>
      <c r="C76" s="7" t="s">
        <v>11</v>
      </c>
      <c r="D76" s="7">
        <v>324.95</v>
      </c>
      <c r="E76" s="4" t="s">
        <v>761</v>
      </c>
      <c r="F76" s="8" t="str">
        <f>_xlfn.DISPIMG("ID_08E3353BC7B04F44BF347D285D5F3E95",1)</f>
        <v>=DISPIMG("ID_08E3353BC7B04F44BF347D285D5F3E95",1)</v>
      </c>
      <c r="G76" s="9" t="s">
        <v>43</v>
      </c>
      <c r="H76" s="7" t="s">
        <v>482</v>
      </c>
      <c r="I76" s="7" t="s">
        <v>482</v>
      </c>
    </row>
    <row r="77" ht="105" spans="1:9">
      <c r="A77" s="3">
        <v>76</v>
      </c>
      <c r="B77" s="4" t="s">
        <v>113</v>
      </c>
      <c r="C77" s="4" t="s">
        <v>11</v>
      </c>
      <c r="D77" s="4">
        <v>148.5</v>
      </c>
      <c r="E77" s="4" t="s">
        <v>761</v>
      </c>
      <c r="F77" s="5" t="str">
        <f>_xlfn.DISPIMG("ID_6FFB43CC24CE4DE69BD9C2CABE125A53",1)</f>
        <v>=DISPIMG("ID_6FFB43CC24CE4DE69BD9C2CABE125A53",1)</v>
      </c>
      <c r="G77" s="6" t="s">
        <v>114</v>
      </c>
      <c r="H77" s="4" t="s">
        <v>482</v>
      </c>
      <c r="I77" s="4" t="s">
        <v>482</v>
      </c>
    </row>
    <row r="78" ht="162" customHeight="1" spans="1:9">
      <c r="A78" s="3">
        <v>77</v>
      </c>
      <c r="B78" s="4" t="s">
        <v>84</v>
      </c>
      <c r="C78" s="4" t="s">
        <v>11</v>
      </c>
      <c r="D78" s="4">
        <v>103.5</v>
      </c>
      <c r="E78" s="4" t="s">
        <v>761</v>
      </c>
      <c r="F78" s="5" t="str">
        <f>_xlfn.DISPIMG("ID_2E374320D8214648878A2750E1275650",1)</f>
        <v>=DISPIMG("ID_2E374320D8214648878A2750E1275650",1)</v>
      </c>
      <c r="G78" s="6" t="s">
        <v>85</v>
      </c>
      <c r="H78" s="4" t="s">
        <v>482</v>
      </c>
      <c r="I78" s="4" t="s">
        <v>482</v>
      </c>
    </row>
    <row r="79" ht="162" customHeight="1" spans="1:9">
      <c r="A79" s="3">
        <v>78</v>
      </c>
      <c r="B79" s="4" t="s">
        <v>19</v>
      </c>
      <c r="C79" s="4" t="s">
        <v>11</v>
      </c>
      <c r="D79" s="4">
        <v>1327</v>
      </c>
      <c r="E79" s="4" t="s">
        <v>761</v>
      </c>
      <c r="F79" s="5" t="str">
        <f>_xlfn.DISPIMG("ID_DEE2E2CC241E4495AF0013EB15FC549E",1)</f>
        <v>=DISPIMG("ID_DEE2E2CC241E4495AF0013EB15FC549E",1)</v>
      </c>
      <c r="G79" s="6" t="s">
        <v>20</v>
      </c>
      <c r="H79" s="4" t="s">
        <v>482</v>
      </c>
      <c r="I79" s="4" t="s">
        <v>482</v>
      </c>
    </row>
    <row r="80" ht="162" customHeight="1" spans="1:9">
      <c r="A80" s="3">
        <v>79</v>
      </c>
      <c r="B80" s="4" t="s">
        <v>127</v>
      </c>
      <c r="C80" s="4" t="s">
        <v>11</v>
      </c>
      <c r="D80" s="4">
        <v>80</v>
      </c>
      <c r="E80" s="4" t="s">
        <v>761</v>
      </c>
      <c r="F80" s="5" t="str">
        <f>_xlfn.DISPIMG("ID_6E6032CE7BCC4E6382F4EBC09E1BD1BB",1)</f>
        <v>=DISPIMG("ID_6E6032CE7BCC4E6382F4EBC09E1BD1BB",1)</v>
      </c>
      <c r="G80" s="6" t="s">
        <v>128</v>
      </c>
      <c r="H80" s="4" t="s">
        <v>482</v>
      </c>
      <c r="I80" s="4" t="s">
        <v>482</v>
      </c>
    </row>
    <row r="81" ht="189" customHeight="1" spans="1:9">
      <c r="A81" s="3">
        <v>80</v>
      </c>
      <c r="B81" s="4" t="s">
        <v>86</v>
      </c>
      <c r="C81" s="4" t="s">
        <v>11</v>
      </c>
      <c r="D81" s="4">
        <v>2546.85</v>
      </c>
      <c r="E81" s="4" t="s">
        <v>761</v>
      </c>
      <c r="F81" s="5" t="str">
        <f>_xlfn.DISPIMG("ID_2AFFEED9F8CF4CFA84FD4F59563D7E24",1)</f>
        <v>=DISPIMG("ID_2AFFEED9F8CF4CFA84FD4F59563D7E24",1)</v>
      </c>
      <c r="G81" s="6" t="s">
        <v>87</v>
      </c>
      <c r="H81" s="4" t="s">
        <v>491</v>
      </c>
      <c r="I81" s="4" t="s">
        <v>482</v>
      </c>
    </row>
    <row r="82" ht="189" customHeight="1" spans="1:9">
      <c r="A82" s="3">
        <v>81</v>
      </c>
      <c r="B82" s="4" t="s">
        <v>530</v>
      </c>
      <c r="C82" s="4" t="s">
        <v>11</v>
      </c>
      <c r="D82" s="4">
        <v>9.5</v>
      </c>
      <c r="E82" s="4" t="s">
        <v>761</v>
      </c>
      <c r="F82" s="5" t="str">
        <f>_xlfn.DISPIMG("ID_56F297EC9CD947A29A8CEB12FC11FEEB",1)</f>
        <v>=DISPIMG("ID_56F297EC9CD947A29A8CEB12FC11FEEB",1)</v>
      </c>
      <c r="G82" s="6" t="s">
        <v>531</v>
      </c>
      <c r="H82" s="4" t="s">
        <v>485</v>
      </c>
      <c r="I82" s="4" t="s">
        <v>482</v>
      </c>
    </row>
    <row r="83" ht="202.5" customHeight="1" spans="1:9">
      <c r="A83" s="3">
        <v>82</v>
      </c>
      <c r="B83" s="4" t="s">
        <v>736</v>
      </c>
      <c r="C83" s="4" t="s">
        <v>11</v>
      </c>
      <c r="D83" s="4">
        <v>0.3</v>
      </c>
      <c r="E83" s="4" t="s">
        <v>761</v>
      </c>
      <c r="F83" s="5" t="str">
        <f>_xlfn.DISPIMG("ID_283F735343FF4791BA433251B579FB3F",1)</f>
        <v>=DISPIMG("ID_283F735343FF4791BA433251B579FB3F",1)</v>
      </c>
      <c r="G83" s="6" t="s">
        <v>737</v>
      </c>
      <c r="H83" s="4" t="s">
        <v>482</v>
      </c>
      <c r="I83" s="4" t="s">
        <v>482</v>
      </c>
    </row>
    <row r="84" ht="148.5" customHeight="1" spans="1:9">
      <c r="A84" s="3">
        <v>83</v>
      </c>
      <c r="B84" s="4" t="s">
        <v>572</v>
      </c>
      <c r="C84" s="4" t="s">
        <v>11</v>
      </c>
      <c r="D84" s="4">
        <v>834.5</v>
      </c>
      <c r="E84" s="4" t="s">
        <v>761</v>
      </c>
      <c r="F84" s="5" t="str">
        <f>_xlfn.DISPIMG("ID_F788FC15211E4906AD9AE3890A863B4D",1)</f>
        <v>=DISPIMG("ID_F788FC15211E4906AD9AE3890A863B4D",1)</v>
      </c>
      <c r="G84" s="6" t="s">
        <v>573</v>
      </c>
      <c r="H84" s="4" t="s">
        <v>482</v>
      </c>
      <c r="I84" s="4" t="s">
        <v>482</v>
      </c>
    </row>
    <row r="85" ht="189" customHeight="1" spans="1:9">
      <c r="A85" s="3">
        <v>84</v>
      </c>
      <c r="B85" s="4" t="s">
        <v>688</v>
      </c>
      <c r="C85" s="4" t="s">
        <v>11</v>
      </c>
      <c r="D85" s="4">
        <v>125.1</v>
      </c>
      <c r="E85" s="4" t="s">
        <v>761</v>
      </c>
      <c r="F85" s="5" t="str">
        <f>_xlfn.DISPIMG("ID_99048583F0734B13A5852048E4BD99A4",1)</f>
        <v>=DISPIMG("ID_99048583F0734B13A5852048E4BD99A4",1)</v>
      </c>
      <c r="G85" s="6" t="s">
        <v>689</v>
      </c>
      <c r="H85" s="4" t="s">
        <v>690</v>
      </c>
      <c r="I85" s="4" t="s">
        <v>482</v>
      </c>
    </row>
    <row r="86" ht="148.5" customHeight="1" spans="1:9">
      <c r="A86" s="3">
        <v>85</v>
      </c>
      <c r="B86" s="4" t="s">
        <v>267</v>
      </c>
      <c r="C86" s="4" t="s">
        <v>11</v>
      </c>
      <c r="D86" s="4">
        <v>20</v>
      </c>
      <c r="E86" s="4" t="s">
        <v>761</v>
      </c>
      <c r="F86" s="5" t="str">
        <f>_xlfn.DISPIMG("ID_25768EFCFEB7423BA6031D9ECAA17977",1)</f>
        <v>=DISPIMG("ID_25768EFCFEB7423BA6031D9ECAA17977",1)</v>
      </c>
      <c r="G86" s="6" t="s">
        <v>268</v>
      </c>
      <c r="H86" s="4" t="s">
        <v>482</v>
      </c>
      <c r="I86" s="4" t="s">
        <v>482</v>
      </c>
    </row>
    <row r="87" ht="148.5" customHeight="1" spans="1:9">
      <c r="A87" s="3">
        <v>86</v>
      </c>
      <c r="B87" s="4" t="s">
        <v>46</v>
      </c>
      <c r="C87" s="4" t="s">
        <v>11</v>
      </c>
      <c r="D87" s="4">
        <v>1419.95</v>
      </c>
      <c r="E87" s="4" t="s">
        <v>761</v>
      </c>
      <c r="F87" s="5" t="str">
        <f>_xlfn.DISPIMG("ID_ED46A3120EEE4D74B5F0BC7E5006DC49",1)</f>
        <v>=DISPIMG("ID_ED46A3120EEE4D74B5F0BC7E5006DC49",1)</v>
      </c>
      <c r="G87" s="6" t="s">
        <v>47</v>
      </c>
      <c r="H87" s="4" t="s">
        <v>482</v>
      </c>
      <c r="I87" s="4" t="s">
        <v>482</v>
      </c>
    </row>
    <row r="88" ht="175.5" customHeight="1" spans="1:9">
      <c r="A88" s="3">
        <v>87</v>
      </c>
      <c r="B88" s="4" t="s">
        <v>44</v>
      </c>
      <c r="C88" s="4" t="s">
        <v>11</v>
      </c>
      <c r="D88" s="4">
        <v>373</v>
      </c>
      <c r="E88" s="4" t="s">
        <v>761</v>
      </c>
      <c r="F88" s="5" t="str">
        <f>_xlfn.DISPIMG("ID_695AD66539A14A7D95C5409941A9ADF8",1)</f>
        <v>=DISPIMG("ID_695AD66539A14A7D95C5409941A9ADF8",1)</v>
      </c>
      <c r="G88" s="6" t="s">
        <v>45</v>
      </c>
      <c r="H88" s="4" t="s">
        <v>525</v>
      </c>
      <c r="I88" s="4" t="s">
        <v>482</v>
      </c>
    </row>
    <row r="89" ht="162" customHeight="1" spans="1:9">
      <c r="A89" s="3">
        <v>88</v>
      </c>
      <c r="B89" s="4" t="s">
        <v>97</v>
      </c>
      <c r="C89" s="4" t="s">
        <v>11</v>
      </c>
      <c r="D89" s="4">
        <v>3583.75</v>
      </c>
      <c r="E89" s="4" t="s">
        <v>761</v>
      </c>
      <c r="F89" s="5" t="str">
        <f>_xlfn.DISPIMG("ID_117C3AD442AD49A3BAED89FEB7F7A257",1)</f>
        <v>=DISPIMG("ID_117C3AD442AD49A3BAED89FEB7F7A257",1)</v>
      </c>
      <c r="G89" s="6" t="s">
        <v>98</v>
      </c>
      <c r="H89" s="4" t="s">
        <v>485</v>
      </c>
      <c r="I89" s="4" t="s">
        <v>482</v>
      </c>
    </row>
    <row r="90" ht="175.5" customHeight="1" spans="1:9">
      <c r="A90" s="3">
        <v>89</v>
      </c>
      <c r="B90" s="4" t="s">
        <v>489</v>
      </c>
      <c r="C90" s="4" t="s">
        <v>11</v>
      </c>
      <c r="D90" s="4">
        <v>3880.9</v>
      </c>
      <c r="E90" s="4" t="s">
        <v>761</v>
      </c>
      <c r="F90" s="5" t="str">
        <f>_xlfn.DISPIMG("ID_86052C927D6C4640AF06F52EDE242D82",1)</f>
        <v>=DISPIMG("ID_86052C927D6C4640AF06F52EDE242D82",1)</v>
      </c>
      <c r="G90" s="6" t="s">
        <v>490</v>
      </c>
      <c r="H90" s="4" t="s">
        <v>482</v>
      </c>
      <c r="I90" s="4" t="s">
        <v>482</v>
      </c>
    </row>
    <row r="91" ht="148.5" customHeight="1" spans="1:9">
      <c r="A91" s="3">
        <v>90</v>
      </c>
      <c r="B91" s="4" t="s">
        <v>555</v>
      </c>
      <c r="C91" s="4" t="s">
        <v>116</v>
      </c>
      <c r="D91" s="4">
        <v>1</v>
      </c>
      <c r="E91" s="4" t="s">
        <v>761</v>
      </c>
      <c r="F91" s="5" t="str">
        <f>_xlfn.DISPIMG("ID_C9C65125366F4577A069DA2070909915",1)</f>
        <v>=DISPIMG("ID_C9C65125366F4577A069DA2070909915",1)</v>
      </c>
      <c r="G91" s="6" t="s">
        <v>556</v>
      </c>
      <c r="H91" s="4" t="s">
        <v>534</v>
      </c>
      <c r="I91" s="4" t="s">
        <v>482</v>
      </c>
    </row>
    <row r="92" ht="162" customHeight="1" spans="1:9">
      <c r="A92" s="3">
        <v>91</v>
      </c>
      <c r="B92" s="4" t="s">
        <v>535</v>
      </c>
      <c r="C92" s="4" t="s">
        <v>11</v>
      </c>
      <c r="D92" s="4">
        <v>30</v>
      </c>
      <c r="E92" s="4" t="s">
        <v>761</v>
      </c>
      <c r="F92" s="5" t="str">
        <f>_xlfn.DISPIMG("ID_ACBDD4EA130F4E569FF618AFA8F5A1C0",1)</f>
        <v>=DISPIMG("ID_ACBDD4EA130F4E569FF618AFA8F5A1C0",1)</v>
      </c>
      <c r="G92" s="6" t="s">
        <v>536</v>
      </c>
      <c r="H92" s="4" t="s">
        <v>482</v>
      </c>
      <c r="I92" s="4" t="s">
        <v>482</v>
      </c>
    </row>
    <row r="93" ht="148.5" customHeight="1" spans="1:9">
      <c r="A93" s="3">
        <v>92</v>
      </c>
      <c r="B93" s="4" t="s">
        <v>478</v>
      </c>
      <c r="C93" s="4" t="s">
        <v>11</v>
      </c>
      <c r="D93" s="4">
        <v>100</v>
      </c>
      <c r="E93" s="4" t="s">
        <v>761</v>
      </c>
      <c r="F93" s="5" t="str">
        <f>_xlfn.DISPIMG("ID_9C85A06D7B144D84A12394A11897522A",1)</f>
        <v>=DISPIMG("ID_9C85A06D7B144D84A12394A11897522A",1)</v>
      </c>
      <c r="G93" s="6" t="s">
        <v>479</v>
      </c>
      <c r="H93" s="4" t="s">
        <v>482</v>
      </c>
      <c r="I93" s="4" t="s">
        <v>482</v>
      </c>
    </row>
    <row r="94" ht="162" customHeight="1" spans="1:9">
      <c r="A94" s="3">
        <v>93</v>
      </c>
      <c r="B94" s="4" t="s">
        <v>107</v>
      </c>
      <c r="C94" s="4" t="s">
        <v>11</v>
      </c>
      <c r="D94" s="4">
        <v>13.1</v>
      </c>
      <c r="E94" s="4" t="s">
        <v>761</v>
      </c>
      <c r="F94" s="5" t="str">
        <f>_xlfn.DISPIMG("ID_0461BB7A84494B0A8C7D162E18731FDA",1)</f>
        <v>=DISPIMG("ID_0461BB7A84494B0A8C7D162E18731FDA",1)</v>
      </c>
      <c r="G94" s="6" t="s">
        <v>108</v>
      </c>
      <c r="H94" s="4" t="s">
        <v>482</v>
      </c>
      <c r="I94" s="4" t="s">
        <v>482</v>
      </c>
    </row>
    <row r="95" ht="148.5" customHeight="1" spans="1:9">
      <c r="A95" s="3">
        <v>94</v>
      </c>
      <c r="B95" s="4" t="s">
        <v>500</v>
      </c>
      <c r="C95" s="4" t="s">
        <v>11</v>
      </c>
      <c r="D95" s="4">
        <v>96.75</v>
      </c>
      <c r="E95" s="4" t="s">
        <v>761</v>
      </c>
      <c r="F95" s="5" t="str">
        <f>_xlfn.DISPIMG("ID_80AB8B83E31F412C95A42260A3B05B81",1)</f>
        <v>=DISPIMG("ID_80AB8B83E31F412C95A42260A3B05B81",1)</v>
      </c>
      <c r="G95" s="6" t="s">
        <v>501</v>
      </c>
      <c r="H95" s="4" t="s">
        <v>482</v>
      </c>
      <c r="I95" s="4" t="s">
        <v>482</v>
      </c>
    </row>
    <row r="96" ht="162" customHeight="1" spans="1:9">
      <c r="A96" s="3">
        <v>95</v>
      </c>
      <c r="B96" s="4" t="s">
        <v>56</v>
      </c>
      <c r="C96" s="4" t="s">
        <v>11</v>
      </c>
      <c r="D96" s="4">
        <v>3368.65</v>
      </c>
      <c r="E96" s="4" t="s">
        <v>761</v>
      </c>
      <c r="F96" s="5" t="str">
        <f>_xlfn.DISPIMG("ID_D2850578CE4E44C1A0BFCE0E1C1938F1",1)</f>
        <v>=DISPIMG("ID_D2850578CE4E44C1A0BFCE0E1C1938F1",1)</v>
      </c>
      <c r="G96" s="6" t="s">
        <v>57</v>
      </c>
      <c r="H96" s="4" t="s">
        <v>485</v>
      </c>
      <c r="I96" s="4" t="s">
        <v>482</v>
      </c>
    </row>
    <row r="97" ht="175.5" customHeight="1" spans="1:9">
      <c r="A97" s="3">
        <v>96</v>
      </c>
      <c r="B97" s="4" t="s">
        <v>109</v>
      </c>
      <c r="C97" s="4" t="s">
        <v>11</v>
      </c>
      <c r="D97" s="4">
        <v>888.2</v>
      </c>
      <c r="E97" s="4" t="s">
        <v>761</v>
      </c>
      <c r="F97" s="5" t="str">
        <f>_xlfn.DISPIMG("ID_456B87199CFD457AA7276DBACCC9A7B4",1)</f>
        <v>=DISPIMG("ID_456B87199CFD457AA7276DBACCC9A7B4",1)</v>
      </c>
      <c r="G97" s="6" t="s">
        <v>110</v>
      </c>
      <c r="H97" s="4" t="s">
        <v>482</v>
      </c>
      <c r="I97" s="4" t="s">
        <v>482</v>
      </c>
    </row>
    <row r="98" ht="202.5" customHeight="1" spans="1:9">
      <c r="A98" s="3">
        <v>97</v>
      </c>
      <c r="B98" s="4" t="s">
        <v>509</v>
      </c>
      <c r="C98" s="4" t="s">
        <v>11</v>
      </c>
      <c r="D98" s="4">
        <v>72.95</v>
      </c>
      <c r="E98" s="4" t="s">
        <v>761</v>
      </c>
      <c r="F98" s="5" t="str">
        <f>_xlfn.DISPIMG("ID_BA2A6C1BD0D648B9AB1139FD563F7D7E",1)</f>
        <v>=DISPIMG("ID_BA2A6C1BD0D648B9AB1139FD563F7D7E",1)</v>
      </c>
      <c r="G98" s="6" t="s">
        <v>510</v>
      </c>
      <c r="H98" s="4" t="s">
        <v>482</v>
      </c>
      <c r="I98" s="4" t="s">
        <v>482</v>
      </c>
    </row>
    <row r="99" ht="216" customHeight="1" spans="1:9">
      <c r="A99" s="3">
        <v>98</v>
      </c>
      <c r="B99" s="4" t="s">
        <v>32</v>
      </c>
      <c r="C99" s="4" t="s">
        <v>11</v>
      </c>
      <c r="D99" s="4">
        <v>74.55</v>
      </c>
      <c r="E99" s="4" t="s">
        <v>761</v>
      </c>
      <c r="F99" s="5" t="str">
        <f>_xlfn.DISPIMG("ID_F6724715175E47AC993143B553025D3D",1)</f>
        <v>=DISPIMG("ID_F6724715175E47AC993143B553025D3D",1)</v>
      </c>
      <c r="G99" s="6" t="s">
        <v>33</v>
      </c>
      <c r="H99" s="4" t="s">
        <v>482</v>
      </c>
      <c r="I99" s="4" t="s">
        <v>482</v>
      </c>
    </row>
    <row r="100" ht="162" customHeight="1" spans="1:9">
      <c r="A100" s="3">
        <v>99</v>
      </c>
      <c r="B100" s="4" t="s">
        <v>460</v>
      </c>
      <c r="C100" s="4" t="s">
        <v>11</v>
      </c>
      <c r="D100" s="4">
        <v>50</v>
      </c>
      <c r="E100" s="4" t="s">
        <v>761</v>
      </c>
      <c r="F100" s="5" t="str">
        <f>_xlfn.DISPIMG("ID_9D96C5717D454A3AB1608BBB32C82B8D",1)</f>
        <v>=DISPIMG("ID_9D96C5717D454A3AB1608BBB32C82B8D",1)</v>
      </c>
      <c r="G100" s="6" t="s">
        <v>461</v>
      </c>
      <c r="H100" s="4" t="s">
        <v>482</v>
      </c>
      <c r="I100" s="4" t="s">
        <v>482</v>
      </c>
    </row>
    <row r="101" ht="202.5" customHeight="1" spans="1:9">
      <c r="A101" s="3">
        <v>100</v>
      </c>
      <c r="B101" s="4" t="s">
        <v>124</v>
      </c>
      <c r="C101" s="4" t="s">
        <v>11</v>
      </c>
      <c r="D101" s="4">
        <v>50.5</v>
      </c>
      <c r="E101" s="4" t="s">
        <v>761</v>
      </c>
      <c r="F101" s="5" t="str">
        <f>_xlfn.DISPIMG("ID_517AAD6707BD4D1AA722C71E513596F8",1)</f>
        <v>=DISPIMG("ID_517AAD6707BD4D1AA722C71E513596F8",1)</v>
      </c>
      <c r="G101" s="6" t="s">
        <v>125</v>
      </c>
      <c r="H101" s="4" t="s">
        <v>482</v>
      </c>
      <c r="I101" s="4" t="s">
        <v>482</v>
      </c>
    </row>
    <row r="102" ht="229.5" customHeight="1" spans="1:9">
      <c r="A102" s="3">
        <v>101</v>
      </c>
      <c r="B102" s="4" t="s">
        <v>551</v>
      </c>
      <c r="C102" s="4" t="s">
        <v>11</v>
      </c>
      <c r="D102" s="4">
        <v>1</v>
      </c>
      <c r="E102" s="4" t="s">
        <v>761</v>
      </c>
      <c r="F102" s="5" t="str">
        <f>_xlfn.DISPIMG("ID_CFE300F5AE7F4196948F2A30E8ABA88D",1)</f>
        <v>=DISPIMG("ID_CFE300F5AE7F4196948F2A30E8ABA88D",1)</v>
      </c>
      <c r="G102" s="6" t="s">
        <v>552</v>
      </c>
      <c r="H102" s="4" t="s">
        <v>482</v>
      </c>
      <c r="I102" s="4" t="s">
        <v>482</v>
      </c>
    </row>
    <row r="103" ht="229.5" customHeight="1" spans="1:9">
      <c r="A103" s="3">
        <v>102</v>
      </c>
      <c r="B103" s="4" t="s">
        <v>590</v>
      </c>
      <c r="C103" s="4" t="s">
        <v>11</v>
      </c>
      <c r="D103" s="4">
        <v>290.65</v>
      </c>
      <c r="E103" s="4" t="s">
        <v>761</v>
      </c>
      <c r="F103" s="5" t="str">
        <f>_xlfn.DISPIMG("ID_6E1FEF3F5FA147DBA0E1503BBEF847A8",1)</f>
        <v>=DISPIMG("ID_6E1FEF3F5FA147DBA0E1503BBEF847A8",1)</v>
      </c>
      <c r="G103" s="6" t="s">
        <v>342</v>
      </c>
      <c r="H103" s="4" t="s">
        <v>482</v>
      </c>
      <c r="I103" s="4" t="s">
        <v>482</v>
      </c>
    </row>
    <row r="104" ht="148.5" customHeight="1" spans="1:9">
      <c r="A104" s="3">
        <v>103</v>
      </c>
      <c r="B104" s="4" t="s">
        <v>50</v>
      </c>
      <c r="C104" s="4" t="s">
        <v>11</v>
      </c>
      <c r="D104" s="4">
        <v>1183.75</v>
      </c>
      <c r="E104" s="4" t="s">
        <v>761</v>
      </c>
      <c r="F104" s="5" t="str">
        <f>_xlfn.DISPIMG("ID_BE4F1E98B5014D109FE96DB56973406E",1)</f>
        <v>=DISPIMG("ID_BE4F1E98B5014D109FE96DB56973406E",1)</v>
      </c>
      <c r="G104" s="6" t="s">
        <v>51</v>
      </c>
      <c r="H104" s="4" t="s">
        <v>482</v>
      </c>
      <c r="I104" s="4" t="s">
        <v>482</v>
      </c>
    </row>
    <row r="105" ht="148.5" customHeight="1" spans="1:9">
      <c r="A105" s="3">
        <v>104</v>
      </c>
      <c r="B105" s="4" t="s">
        <v>764</v>
      </c>
      <c r="C105" s="4" t="s">
        <v>11</v>
      </c>
      <c r="D105" s="4">
        <v>0.5</v>
      </c>
      <c r="E105" s="4" t="s">
        <v>761</v>
      </c>
      <c r="F105" s="5" t="str">
        <f>_xlfn.DISPIMG("ID_670E6049B2314CE7B4C9DCE42228E555",1)</f>
        <v>=DISPIMG("ID_670E6049B2314CE7B4C9DCE42228E555",1)</v>
      </c>
      <c r="G105" s="6" t="s">
        <v>367</v>
      </c>
      <c r="H105" s="4" t="s">
        <v>482</v>
      </c>
      <c r="I105" s="4" t="s">
        <v>482</v>
      </c>
    </row>
    <row r="106" ht="175.5" customHeight="1" spans="1:9">
      <c r="A106" s="3">
        <v>105</v>
      </c>
      <c r="B106" s="4" t="s">
        <v>52</v>
      </c>
      <c r="C106" s="4" t="s">
        <v>11</v>
      </c>
      <c r="D106" s="4">
        <v>167</v>
      </c>
      <c r="E106" s="4" t="s">
        <v>761</v>
      </c>
      <c r="F106" s="5" t="str">
        <f>_xlfn.DISPIMG("ID_B3AB3C1CAA774AFC9F8BE0B6B17A6341",1)</f>
        <v>=DISPIMG("ID_B3AB3C1CAA774AFC9F8BE0B6B17A6341",1)</v>
      </c>
      <c r="G106" s="6" t="s">
        <v>53</v>
      </c>
      <c r="H106" s="4" t="s">
        <v>482</v>
      </c>
      <c r="I106" s="4" t="s">
        <v>482</v>
      </c>
    </row>
    <row r="107" ht="148.5" customHeight="1" spans="1:9">
      <c r="A107" s="3">
        <v>106</v>
      </c>
      <c r="B107" s="4" t="s">
        <v>522</v>
      </c>
      <c r="C107" s="4" t="s">
        <v>11</v>
      </c>
      <c r="D107" s="4">
        <v>87.7</v>
      </c>
      <c r="E107" s="4" t="s">
        <v>761</v>
      </c>
      <c r="F107" s="5" t="str">
        <f>_xlfn.DISPIMG("ID_A8C09B363CB94EB5B5C6F382E2E7119C",1)</f>
        <v>=DISPIMG("ID_A8C09B363CB94EB5B5C6F382E2E7119C",1)</v>
      </c>
      <c r="G107" s="6" t="s">
        <v>523</v>
      </c>
      <c r="H107" s="4" t="s">
        <v>482</v>
      </c>
      <c r="I107" s="4" t="s">
        <v>482</v>
      </c>
    </row>
    <row r="108" ht="189" customHeight="1" spans="1:9">
      <c r="A108" s="3">
        <v>107</v>
      </c>
      <c r="B108" s="4" t="s">
        <v>54</v>
      </c>
      <c r="C108" s="4" t="s">
        <v>11</v>
      </c>
      <c r="D108" s="4">
        <v>1067.3</v>
      </c>
      <c r="E108" s="4" t="s">
        <v>761</v>
      </c>
      <c r="F108" s="5" t="str">
        <f>_xlfn.DISPIMG("ID_E2FE6AEA416D465AAD43EF2091B16CC1",1)</f>
        <v>=DISPIMG("ID_E2FE6AEA416D465AAD43EF2091B16CC1",1)</v>
      </c>
      <c r="G108" s="6" t="s">
        <v>55</v>
      </c>
      <c r="H108" s="4" t="s">
        <v>482</v>
      </c>
      <c r="I108" s="4" t="s">
        <v>482</v>
      </c>
    </row>
    <row r="109" ht="162" customHeight="1" spans="1:9">
      <c r="A109" s="3">
        <v>108</v>
      </c>
      <c r="B109" s="4" t="s">
        <v>542</v>
      </c>
      <c r="C109" s="4" t="s">
        <v>11</v>
      </c>
      <c r="D109" s="4">
        <v>10</v>
      </c>
      <c r="E109" s="4" t="s">
        <v>761</v>
      </c>
      <c r="F109" s="5" t="str">
        <f>_xlfn.DISPIMG("ID_4192424DD7DE4E2FA886ACCC81348B2F",1)</f>
        <v>=DISPIMG("ID_4192424DD7DE4E2FA886ACCC81348B2F",1)</v>
      </c>
      <c r="G109" s="6" t="s">
        <v>543</v>
      </c>
      <c r="H109" s="4" t="s">
        <v>482</v>
      </c>
      <c r="I109" s="4" t="s">
        <v>482</v>
      </c>
    </row>
    <row r="110" ht="162" customHeight="1" spans="1:9">
      <c r="A110" s="3">
        <v>109</v>
      </c>
      <c r="B110" s="7" t="s">
        <v>138</v>
      </c>
      <c r="C110" s="7" t="s">
        <v>11</v>
      </c>
      <c r="D110" s="7">
        <v>1.55</v>
      </c>
      <c r="E110" s="4" t="s">
        <v>761</v>
      </c>
      <c r="F110" s="8" t="str">
        <f>_xlfn.DISPIMG("ID_EEF970679AF14080A2E1BDD208B246FA",1)</f>
        <v>=DISPIMG("ID_EEF970679AF14080A2E1BDD208B246FA",1)</v>
      </c>
      <c r="G110" s="9" t="s">
        <v>377</v>
      </c>
      <c r="H110" s="7" t="s">
        <v>482</v>
      </c>
      <c r="I110" s="7" t="s">
        <v>482</v>
      </c>
    </row>
    <row r="111" ht="135" customHeight="1" spans="1:9">
      <c r="A111" s="3">
        <v>110</v>
      </c>
      <c r="B111" s="4" t="s">
        <v>120</v>
      </c>
      <c r="C111" s="4" t="s">
        <v>11</v>
      </c>
      <c r="D111" s="4">
        <v>400</v>
      </c>
      <c r="E111" s="4" t="s">
        <v>761</v>
      </c>
      <c r="F111" s="5" t="str">
        <f>_xlfn.DISPIMG("ID_96709694E7AF4724B5796FF5A02BB5A1",1)</f>
        <v>=DISPIMG("ID_96709694E7AF4724B5796FF5A02BB5A1",1)</v>
      </c>
      <c r="G111" s="6" t="s">
        <v>121</v>
      </c>
      <c r="H111" s="4" t="s">
        <v>482</v>
      </c>
      <c r="I111" s="4" t="s">
        <v>482</v>
      </c>
    </row>
    <row r="112" ht="162" customHeight="1" spans="1:9">
      <c r="A112" s="3">
        <v>111</v>
      </c>
      <c r="B112" s="4" t="s">
        <v>617</v>
      </c>
      <c r="C112" s="4" t="s">
        <v>11</v>
      </c>
      <c r="D112" s="4">
        <v>15</v>
      </c>
      <c r="E112" s="4" t="s">
        <v>761</v>
      </c>
      <c r="F112" s="5" t="str">
        <f>_xlfn.DISPIMG("ID_E87B02AE2CD344A9B735B364C186A07A",1)</f>
        <v>=DISPIMG("ID_E87B02AE2CD344A9B735B364C186A07A",1)</v>
      </c>
      <c r="G112" s="6" t="s">
        <v>618</v>
      </c>
      <c r="H112" s="4" t="s">
        <v>482</v>
      </c>
      <c r="I112" s="4" t="s">
        <v>482</v>
      </c>
    </row>
    <row r="113" ht="148.5" customHeight="1" spans="1:9">
      <c r="A113" s="3">
        <v>112</v>
      </c>
      <c r="B113" s="4" t="s">
        <v>644</v>
      </c>
      <c r="C113" s="4" t="s">
        <v>11</v>
      </c>
      <c r="D113" s="4">
        <v>2913.05</v>
      </c>
      <c r="E113" s="4" t="s">
        <v>765</v>
      </c>
      <c r="F113" s="5" t="str">
        <f>_xlfn.DISPIMG("ID_F3EAA75162CB46858E5AF6622C50C5F4",1)</f>
        <v>=DISPIMG("ID_F3EAA75162CB46858E5AF6622C50C5F4",1)</v>
      </c>
      <c r="G113" s="6" t="s">
        <v>645</v>
      </c>
      <c r="H113" s="4" t="s">
        <v>646</v>
      </c>
      <c r="I113" s="4" t="s">
        <v>482</v>
      </c>
    </row>
    <row r="114" ht="148.5" customHeight="1" spans="1:9">
      <c r="A114" s="3">
        <v>113</v>
      </c>
      <c r="B114" s="4" t="s">
        <v>647</v>
      </c>
      <c r="C114" s="4" t="s">
        <v>11</v>
      </c>
      <c r="D114" s="4">
        <v>2445</v>
      </c>
      <c r="E114" s="4" t="s">
        <v>765</v>
      </c>
      <c r="F114" s="5" t="str">
        <f>_xlfn.DISPIMG("ID_4936F66C695845EDBEBD59105E06FED7",1)</f>
        <v>=DISPIMG("ID_4936F66C695845EDBEBD59105E06FED7",1)</v>
      </c>
      <c r="G114" s="6" t="s">
        <v>648</v>
      </c>
      <c r="H114" s="4" t="s">
        <v>649</v>
      </c>
      <c r="I114" s="4" t="s">
        <v>482</v>
      </c>
    </row>
    <row r="115" ht="135" customHeight="1" spans="1:9">
      <c r="A115" s="3">
        <v>114</v>
      </c>
      <c r="B115" s="4" t="s">
        <v>641</v>
      </c>
      <c r="C115" s="4" t="s">
        <v>11</v>
      </c>
      <c r="D115" s="4">
        <v>16684.6</v>
      </c>
      <c r="E115" s="4" t="s">
        <v>765</v>
      </c>
      <c r="F115" s="5" t="str">
        <f>_xlfn.DISPIMG("ID_AF4A5C6F707C4B04A459D28F192869C5",1)</f>
        <v>=DISPIMG("ID_AF4A5C6F707C4B04A459D28F192869C5",1)</v>
      </c>
      <c r="G115" s="6" t="s">
        <v>642</v>
      </c>
      <c r="H115" s="4" t="s">
        <v>643</v>
      </c>
      <c r="I115" s="4" t="s">
        <v>482</v>
      </c>
    </row>
    <row r="116" ht="162" customHeight="1" spans="1:9">
      <c r="A116" s="3">
        <v>115</v>
      </c>
      <c r="B116" s="4" t="s">
        <v>724</v>
      </c>
      <c r="C116" s="4" t="s">
        <v>11</v>
      </c>
      <c r="D116" s="4">
        <v>2.55</v>
      </c>
      <c r="E116" s="4" t="s">
        <v>765</v>
      </c>
      <c r="F116" s="5" t="str">
        <f>_xlfn.DISPIMG("ID_B07971CE323C4849901DE77334E57E12",1)</f>
        <v>=DISPIMG("ID_B07971CE323C4849901DE77334E57E12",1)</v>
      </c>
      <c r="G116" s="6" t="s">
        <v>725</v>
      </c>
      <c r="H116" s="4" t="s">
        <v>726</v>
      </c>
      <c r="I116" s="4" t="s">
        <v>482</v>
      </c>
    </row>
    <row r="117" ht="270" customHeight="1" spans="1:9">
      <c r="A117" s="3">
        <v>116</v>
      </c>
      <c r="B117" s="4" t="s">
        <v>695</v>
      </c>
      <c r="C117" s="4" t="s">
        <v>11</v>
      </c>
      <c r="D117" s="4">
        <v>97</v>
      </c>
      <c r="E117" s="4" t="s">
        <v>765</v>
      </c>
      <c r="F117" s="5" t="str">
        <f>_xlfn.DISPIMG("ID_4D004291F29945428E67E2FDC57FCB03",1)</f>
        <v>=DISPIMG("ID_4D004291F29945428E67E2FDC57FCB03",1)</v>
      </c>
      <c r="G117" s="6" t="s">
        <v>696</v>
      </c>
      <c r="H117" s="4" t="s">
        <v>697</v>
      </c>
      <c r="I117" s="4" t="s">
        <v>482</v>
      </c>
    </row>
    <row r="118" ht="148.5" customHeight="1" spans="1:9">
      <c r="A118" s="3">
        <v>117</v>
      </c>
      <c r="B118" s="4" t="s">
        <v>384</v>
      </c>
      <c r="C118" s="4" t="s">
        <v>11</v>
      </c>
      <c r="D118" s="4">
        <v>27.1</v>
      </c>
      <c r="E118" s="4" t="s">
        <v>765</v>
      </c>
      <c r="F118" s="5" t="str">
        <f>_xlfn.DISPIMG("ID_B09D96696FC04969A4BF70BEE21F64C5",1)</f>
        <v>=DISPIMG("ID_B09D96696FC04969A4BF70BEE21F64C5",1)</v>
      </c>
      <c r="G118" s="6" t="s">
        <v>386</v>
      </c>
      <c r="H118" s="4" t="s">
        <v>698</v>
      </c>
      <c r="I118" s="4" t="s">
        <v>482</v>
      </c>
    </row>
    <row r="119" ht="175.5" customHeight="1" spans="1:9">
      <c r="A119" s="3">
        <v>118</v>
      </c>
      <c r="B119" s="4" t="s">
        <v>387</v>
      </c>
      <c r="C119" s="4" t="s">
        <v>11</v>
      </c>
      <c r="D119" s="4">
        <v>29.5</v>
      </c>
      <c r="E119" s="4" t="s">
        <v>765</v>
      </c>
      <c r="F119" s="5" t="str">
        <f>_xlfn.DISPIMG("ID_5D29934DF0884EA69C9E101E2F920E55",1)</f>
        <v>=DISPIMG("ID_5D29934DF0884EA69C9E101E2F920E55",1)</v>
      </c>
      <c r="G119" s="6" t="s">
        <v>388</v>
      </c>
      <c r="H119" s="4" t="s">
        <v>704</v>
      </c>
      <c r="I119" s="4" t="s">
        <v>482</v>
      </c>
    </row>
    <row r="120" ht="162" customHeight="1" spans="1:9">
      <c r="A120" s="3">
        <v>119</v>
      </c>
      <c r="B120" s="4" t="s">
        <v>734</v>
      </c>
      <c r="C120" s="4" t="s">
        <v>11</v>
      </c>
      <c r="D120" s="4">
        <v>1.25</v>
      </c>
      <c r="E120" s="4" t="s">
        <v>765</v>
      </c>
      <c r="F120" s="5" t="str">
        <f>_xlfn.DISPIMG("ID_60DD0C0BCA7E4796B6862D22CB27F363",1)</f>
        <v>=DISPIMG("ID_60DD0C0BCA7E4796B6862D22CB27F363",1)</v>
      </c>
      <c r="G120" s="6" t="s">
        <v>735</v>
      </c>
      <c r="H120" s="4" t="s">
        <v>482</v>
      </c>
      <c r="I120" s="4" t="s">
        <v>482</v>
      </c>
    </row>
    <row r="121" ht="162" customHeight="1" spans="1:9">
      <c r="A121" s="3">
        <v>120</v>
      </c>
      <c r="B121" s="4" t="s">
        <v>468</v>
      </c>
      <c r="C121" s="4" t="s">
        <v>11</v>
      </c>
      <c r="D121" s="4">
        <v>201.7</v>
      </c>
      <c r="E121" s="4" t="s">
        <v>765</v>
      </c>
      <c r="F121" s="5" t="str">
        <f>_xlfn.DISPIMG("ID_BCDA9BFAD6A44B1B93FDFA321B553EC4",1)</f>
        <v>=DISPIMG("ID_BCDA9BFAD6A44B1B93FDFA321B553EC4",1)</v>
      </c>
      <c r="G121" s="6" t="s">
        <v>469</v>
      </c>
      <c r="H121" s="4" t="s">
        <v>733</v>
      </c>
      <c r="I121" s="4" t="s">
        <v>482</v>
      </c>
    </row>
    <row r="122" ht="162" customHeight="1" spans="1:9">
      <c r="A122" s="3">
        <v>121</v>
      </c>
      <c r="B122" s="4" t="s">
        <v>707</v>
      </c>
      <c r="C122" s="4" t="s">
        <v>11</v>
      </c>
      <c r="D122" s="4">
        <v>8.7</v>
      </c>
      <c r="E122" s="4" t="s">
        <v>765</v>
      </c>
      <c r="F122" s="5" t="str">
        <f>_xlfn.DISPIMG("ID_7CD00BF8C7044E18AE9291B60A9150A6",1)</f>
        <v>=DISPIMG("ID_7CD00BF8C7044E18AE9291B60A9150A6",1)</v>
      </c>
      <c r="G122" s="6" t="s">
        <v>708</v>
      </c>
      <c r="H122" s="4" t="s">
        <v>709</v>
      </c>
      <c r="I122" s="4" t="s">
        <v>482</v>
      </c>
    </row>
    <row r="123" ht="162" customHeight="1" spans="1:9">
      <c r="A123" s="3">
        <v>122</v>
      </c>
      <c r="B123" s="4" t="s">
        <v>675</v>
      </c>
      <c r="C123" s="4" t="s">
        <v>11</v>
      </c>
      <c r="D123" s="4">
        <v>106.05</v>
      </c>
      <c r="E123" s="4" t="s">
        <v>765</v>
      </c>
      <c r="F123" s="5" t="str">
        <f>_xlfn.DISPIMG("ID_5BEE0B8E55E34DC5B3415546F3ABC112",1)</f>
        <v>=DISPIMG("ID_5BEE0B8E55E34DC5B3415546F3ABC112",1)</v>
      </c>
      <c r="G123" s="6" t="s">
        <v>676</v>
      </c>
      <c r="H123" s="4" t="s">
        <v>677</v>
      </c>
      <c r="I123" s="4" t="s">
        <v>482</v>
      </c>
    </row>
    <row r="124" ht="162" customHeight="1" spans="1:9">
      <c r="A124" s="3">
        <v>123</v>
      </c>
      <c r="B124" s="4" t="s">
        <v>389</v>
      </c>
      <c r="C124" s="4" t="s">
        <v>11</v>
      </c>
      <c r="D124" s="4">
        <v>204.35</v>
      </c>
      <c r="E124" s="4" t="s">
        <v>765</v>
      </c>
      <c r="F124" s="5" t="str">
        <f>_xlfn.DISPIMG("ID_EF9977C29E894EB9B7DA00351BBE174A",1)</f>
        <v>=DISPIMG("ID_EF9977C29E894EB9B7DA00351BBE174A",1)</v>
      </c>
      <c r="G124" s="6" t="s">
        <v>390</v>
      </c>
      <c r="H124" s="4" t="s">
        <v>671</v>
      </c>
      <c r="I124" s="4" t="s">
        <v>482</v>
      </c>
    </row>
    <row r="125" ht="148.5" customHeight="1" spans="1:9">
      <c r="A125" s="3">
        <v>124</v>
      </c>
      <c r="B125" s="4" t="s">
        <v>394</v>
      </c>
      <c r="C125" s="4" t="s">
        <v>11</v>
      </c>
      <c r="D125" s="4">
        <v>10.85</v>
      </c>
      <c r="E125" s="4" t="s">
        <v>765</v>
      </c>
      <c r="F125" s="5" t="str">
        <f>_xlfn.DISPIMG("ID_0ED438562E13435787D0CC91E42D03E1",1)</f>
        <v>=DISPIMG("ID_0ED438562E13435787D0CC91E42D03E1",1)</v>
      </c>
      <c r="G125" s="6" t="s">
        <v>396</v>
      </c>
      <c r="H125" s="4" t="s">
        <v>482</v>
      </c>
      <c r="I125" s="4" t="s">
        <v>482</v>
      </c>
    </row>
    <row r="126" ht="148.5" customHeight="1" spans="1:9">
      <c r="A126" s="3">
        <v>125</v>
      </c>
      <c r="B126" s="4" t="s">
        <v>678</v>
      </c>
      <c r="C126" s="4" t="s">
        <v>11</v>
      </c>
      <c r="D126" s="4">
        <v>432.85</v>
      </c>
      <c r="E126" s="4" t="s">
        <v>765</v>
      </c>
      <c r="F126" s="5" t="str">
        <f>_xlfn.DISPIMG("ID_22EE8D3E01BA4EA29397C1D07D4CDD8C",1)</f>
        <v>=DISPIMG("ID_22EE8D3E01BA4EA29397C1D07D4CDD8C",1)</v>
      </c>
      <c r="G126" s="6" t="s">
        <v>679</v>
      </c>
      <c r="H126" s="4" t="s">
        <v>548</v>
      </c>
      <c r="I126" s="4" t="s">
        <v>482</v>
      </c>
    </row>
    <row r="127" ht="148.5" customHeight="1" spans="1:9">
      <c r="A127" s="3">
        <v>126</v>
      </c>
      <c r="B127" s="4" t="s">
        <v>730</v>
      </c>
      <c r="C127" s="4" t="s">
        <v>11</v>
      </c>
      <c r="D127" s="4">
        <v>1</v>
      </c>
      <c r="E127" s="4" t="s">
        <v>765</v>
      </c>
      <c r="F127" s="5" t="str">
        <f>_xlfn.DISPIMG("ID_36D9B1D26D2045F5BCA4270D78C3C6F2",1)</f>
        <v>=DISPIMG("ID_36D9B1D26D2045F5BCA4270D78C3C6F2",1)</v>
      </c>
      <c r="G127" s="6" t="s">
        <v>731</v>
      </c>
      <c r="H127" s="4" t="s">
        <v>548</v>
      </c>
      <c r="I127" s="4" t="s">
        <v>482</v>
      </c>
    </row>
    <row r="128" ht="202.5" customHeight="1" spans="1:9">
      <c r="A128" s="3">
        <v>127</v>
      </c>
      <c r="B128" s="4" t="s">
        <v>710</v>
      </c>
      <c r="C128" s="4" t="s">
        <v>11</v>
      </c>
      <c r="D128" s="4">
        <v>8.7</v>
      </c>
      <c r="E128" s="4" t="s">
        <v>765</v>
      </c>
      <c r="F128" s="5" t="str">
        <f>_xlfn.DISPIMG("ID_A194928DF88348DAB1C3B5AB929755D8",1)</f>
        <v>=DISPIMG("ID_A194928DF88348DAB1C3B5AB929755D8",1)</v>
      </c>
      <c r="G128" s="6" t="s">
        <v>711</v>
      </c>
      <c r="H128" s="4" t="s">
        <v>482</v>
      </c>
      <c r="I128" s="4" t="s">
        <v>482</v>
      </c>
    </row>
    <row r="129" ht="148.5" customHeight="1" spans="1:9">
      <c r="A129" s="3">
        <v>128</v>
      </c>
      <c r="B129" s="4" t="s">
        <v>717</v>
      </c>
      <c r="C129" s="4" t="s">
        <v>11</v>
      </c>
      <c r="D129" s="4">
        <v>1.45</v>
      </c>
      <c r="E129" s="4" t="s">
        <v>765</v>
      </c>
      <c r="F129" s="5" t="str">
        <f>_xlfn.DISPIMG("ID_FD333C8D348D44E8A75D277B16ECF90E",1)</f>
        <v>=DISPIMG("ID_FD333C8D348D44E8A75D277B16ECF90E",1)</v>
      </c>
      <c r="G129" s="6" t="s">
        <v>718</v>
      </c>
      <c r="H129" s="4" t="s">
        <v>719</v>
      </c>
      <c r="I129" s="4" t="s">
        <v>482</v>
      </c>
    </row>
    <row r="130" ht="175.5" customHeight="1" spans="1:9">
      <c r="A130" s="3">
        <v>129</v>
      </c>
      <c r="B130" s="4" t="s">
        <v>464</v>
      </c>
      <c r="C130" s="4" t="s">
        <v>11</v>
      </c>
      <c r="D130" s="4">
        <v>20</v>
      </c>
      <c r="E130" s="4" t="s">
        <v>765</v>
      </c>
      <c r="F130" s="5" t="str">
        <f>_xlfn.DISPIMG("ID_7EB6C60AFEA2426FADA8B52BE018F005",1)</f>
        <v>=DISPIMG("ID_7EB6C60AFEA2426FADA8B52BE018F005",1)</v>
      </c>
      <c r="G130" s="6" t="s">
        <v>465</v>
      </c>
      <c r="H130" s="4" t="s">
        <v>482</v>
      </c>
      <c r="I130" s="4" t="s">
        <v>385</v>
      </c>
    </row>
    <row r="131" ht="175.5" customHeight="1" spans="1:9">
      <c r="A131" s="3">
        <v>130</v>
      </c>
      <c r="B131" s="4" t="s">
        <v>738</v>
      </c>
      <c r="C131" s="4" t="s">
        <v>11</v>
      </c>
      <c r="D131" s="4">
        <v>1</v>
      </c>
      <c r="E131" s="4" t="s">
        <v>765</v>
      </c>
      <c r="F131" s="5" t="str">
        <f>_xlfn.DISPIMG("ID_CD1FF0ABF4754CD9AEBCDD5F4A80778C",1)</f>
        <v>=DISPIMG("ID_CD1FF0ABF4754CD9AEBCDD5F4A80778C",1)</v>
      </c>
      <c r="G131" s="6" t="s">
        <v>739</v>
      </c>
      <c r="H131" s="4" t="s">
        <v>740</v>
      </c>
      <c r="I131" s="4" t="s">
        <v>482</v>
      </c>
    </row>
    <row r="132" ht="162" customHeight="1" spans="1:9">
      <c r="A132" s="3">
        <v>131</v>
      </c>
      <c r="B132" s="4" t="s">
        <v>406</v>
      </c>
      <c r="C132" s="4" t="s">
        <v>11</v>
      </c>
      <c r="D132" s="4">
        <v>444.4</v>
      </c>
      <c r="E132" s="4" t="s">
        <v>765</v>
      </c>
      <c r="F132" s="5" t="str">
        <f>_xlfn.DISPIMG("ID_FB3B54A057464358B8C62F734100B3E4",1)</f>
        <v>=DISPIMG("ID_FB3B54A057464358B8C62F734100B3E4",1)</v>
      </c>
      <c r="G132" s="6" t="s">
        <v>408</v>
      </c>
      <c r="H132" s="4" t="s">
        <v>669</v>
      </c>
      <c r="I132" s="4" t="s">
        <v>482</v>
      </c>
    </row>
    <row r="133" ht="148.5" customHeight="1" spans="1:9">
      <c r="A133" s="3">
        <v>132</v>
      </c>
      <c r="B133" s="4" t="s">
        <v>672</v>
      </c>
      <c r="C133" s="4" t="s">
        <v>11</v>
      </c>
      <c r="D133" s="4">
        <v>469.65</v>
      </c>
      <c r="E133" s="4" t="s">
        <v>765</v>
      </c>
      <c r="F133" s="5" t="str">
        <f>_xlfn.DISPIMG("ID_F8DC646C8D174528B78447F023AB3FA5",1)</f>
        <v>=DISPIMG("ID_F8DC646C8D174528B78447F023AB3FA5",1)</v>
      </c>
      <c r="G133" s="6" t="s">
        <v>673</v>
      </c>
      <c r="H133" s="4" t="s">
        <v>674</v>
      </c>
      <c r="I133" s="4" t="s">
        <v>482</v>
      </c>
    </row>
    <row r="134" ht="162" customHeight="1" spans="1:9">
      <c r="A134" s="3">
        <v>133</v>
      </c>
      <c r="B134" s="4" t="s">
        <v>409</v>
      </c>
      <c r="C134" s="4" t="s">
        <v>11</v>
      </c>
      <c r="D134" s="4">
        <v>635.85</v>
      </c>
      <c r="E134" s="4" t="s">
        <v>765</v>
      </c>
      <c r="F134" s="5" t="str">
        <f>_xlfn.DISPIMG("ID_B9ADAF316BF4455790D82BD85FD35106",1)</f>
        <v>=DISPIMG("ID_B9ADAF316BF4455790D82BD85FD35106",1)</v>
      </c>
      <c r="G134" s="6" t="s">
        <v>411</v>
      </c>
      <c r="H134" s="4" t="s">
        <v>652</v>
      </c>
      <c r="I134" s="4" t="s">
        <v>482</v>
      </c>
    </row>
    <row r="135" ht="162" customHeight="1" spans="1:9">
      <c r="A135" s="3">
        <v>134</v>
      </c>
      <c r="B135" s="4" t="s">
        <v>412</v>
      </c>
      <c r="C135" s="4" t="s">
        <v>11</v>
      </c>
      <c r="D135" s="4">
        <v>1266.4</v>
      </c>
      <c r="E135" s="4" t="s">
        <v>765</v>
      </c>
      <c r="F135" s="5" t="str">
        <f>_xlfn.DISPIMG("ID_5D29934DF0884EA69C9E101E2F920E55",1)</f>
        <v>=DISPIMG("ID_5D29934DF0884EA69C9E101E2F920E55",1)</v>
      </c>
      <c r="G135" s="6" t="s">
        <v>388</v>
      </c>
      <c r="H135" s="4" t="s">
        <v>654</v>
      </c>
      <c r="I135" s="4" t="s">
        <v>482</v>
      </c>
    </row>
    <row r="136" ht="148.5" customHeight="1" spans="1:9">
      <c r="A136" s="3">
        <v>135</v>
      </c>
      <c r="B136" s="4" t="s">
        <v>727</v>
      </c>
      <c r="C136" s="4" t="s">
        <v>11</v>
      </c>
      <c r="D136" s="4">
        <v>1</v>
      </c>
      <c r="E136" s="4" t="s">
        <v>766</v>
      </c>
      <c r="F136" s="5" t="str">
        <f>_xlfn.DISPIMG("ID_BB0A35D35C034E36B4C2F32E8B690FA3",1)</f>
        <v>=DISPIMG("ID_BB0A35D35C034E36B4C2F32E8B690FA3",1)</v>
      </c>
      <c r="G136" s="6" t="s">
        <v>728</v>
      </c>
      <c r="H136" s="4" t="s">
        <v>729</v>
      </c>
      <c r="I136" s="4" t="s">
        <v>482</v>
      </c>
    </row>
    <row r="137" ht="148.5" customHeight="1" spans="1:9">
      <c r="A137" s="3">
        <v>136</v>
      </c>
      <c r="B137" s="4" t="s">
        <v>380</v>
      </c>
      <c r="C137" s="4" t="s">
        <v>11</v>
      </c>
      <c r="D137" s="4">
        <v>8.75</v>
      </c>
      <c r="E137" s="4" t="s">
        <v>766</v>
      </c>
      <c r="F137" s="5" t="str">
        <f>_xlfn.DISPIMG("ID_9861A79ED2F34A9F9E7CEB85B172C28D",1)</f>
        <v>=DISPIMG("ID_9861A79ED2F34A9F9E7CEB85B172C28D",1)</v>
      </c>
      <c r="G137" s="6" t="s">
        <v>383</v>
      </c>
      <c r="H137" s="4" t="s">
        <v>482</v>
      </c>
      <c r="I137" s="4" t="s">
        <v>482</v>
      </c>
    </row>
    <row r="138" ht="175.5" customHeight="1" spans="1:9">
      <c r="A138" s="3">
        <v>137</v>
      </c>
      <c r="B138" s="4" t="s">
        <v>662</v>
      </c>
      <c r="C138" s="4" t="s">
        <v>11</v>
      </c>
      <c r="D138" s="4">
        <v>1</v>
      </c>
      <c r="E138" s="4" t="s">
        <v>766</v>
      </c>
      <c r="F138" s="5" t="str">
        <f>_xlfn.DISPIMG("ID_A01838AE032245FA8DEF4B1709E60D18",1)</f>
        <v>=DISPIMG("ID_A01838AE032245FA8DEF4B1709E60D18",1)</v>
      </c>
      <c r="G138" s="6" t="s">
        <v>660</v>
      </c>
      <c r="H138" s="4" t="s">
        <v>663</v>
      </c>
      <c r="I138" s="4" t="s">
        <v>482</v>
      </c>
    </row>
    <row r="139" ht="175.5" customHeight="1" spans="1:9">
      <c r="A139" s="3">
        <v>138</v>
      </c>
      <c r="B139" s="4" t="s">
        <v>699</v>
      </c>
      <c r="C139" s="4" t="s">
        <v>11</v>
      </c>
      <c r="D139" s="4">
        <v>12</v>
      </c>
      <c r="E139" s="4" t="s">
        <v>766</v>
      </c>
      <c r="F139" s="5" t="str">
        <f>_xlfn.DISPIMG("ID_42D05C9D8BE5422BBBA3D2A83F8B55A3",1)</f>
        <v>=DISPIMG("ID_42D05C9D8BE5422BBBA3D2A83F8B55A3",1)</v>
      </c>
      <c r="G139" s="6" t="s">
        <v>700</v>
      </c>
      <c r="H139" s="4" t="s">
        <v>701</v>
      </c>
      <c r="I139" s="4" t="s">
        <v>482</v>
      </c>
    </row>
    <row r="140" ht="189" customHeight="1" spans="1:9">
      <c r="A140" s="3">
        <v>139</v>
      </c>
      <c r="B140" s="4" t="s">
        <v>659</v>
      </c>
      <c r="C140" s="4" t="s">
        <v>11</v>
      </c>
      <c r="D140" s="4">
        <v>215.6</v>
      </c>
      <c r="E140" s="4" t="s">
        <v>766</v>
      </c>
      <c r="F140" s="5" t="str">
        <f>_xlfn.DISPIMG("ID_12D5C3DF64694CEAA7303EC5CCE8D00E",1)</f>
        <v>=DISPIMG("ID_12D5C3DF64694CEAA7303EC5CCE8D00E",1)</v>
      </c>
      <c r="G140" s="6" t="s">
        <v>660</v>
      </c>
      <c r="H140" s="4" t="s">
        <v>661</v>
      </c>
      <c r="I140" s="4" t="s">
        <v>482</v>
      </c>
    </row>
    <row r="141" ht="148.5" customHeight="1" spans="1:9">
      <c r="A141" s="3">
        <v>140</v>
      </c>
      <c r="B141" s="4" t="s">
        <v>767</v>
      </c>
      <c r="C141" s="4" t="s">
        <v>11</v>
      </c>
      <c r="D141" s="4">
        <v>9004.6</v>
      </c>
      <c r="E141" s="4" t="s">
        <v>766</v>
      </c>
      <c r="F141" s="5" t="str">
        <f>_xlfn.DISPIMG("ID_CB4CC1FABCB64556AA0449ADBFD0AAF7",1)</f>
        <v>=DISPIMG("ID_CB4CC1FABCB64556AA0449ADBFD0AAF7",1)</v>
      </c>
      <c r="G141" s="6" t="s">
        <v>402</v>
      </c>
      <c r="H141" s="4" t="s">
        <v>640</v>
      </c>
      <c r="I141" s="4" t="s">
        <v>482</v>
      </c>
    </row>
    <row r="142" ht="135" customHeight="1" spans="1:9">
      <c r="A142" s="3">
        <v>141</v>
      </c>
      <c r="B142" s="4" t="s">
        <v>683</v>
      </c>
      <c r="C142" s="4" t="s">
        <v>11</v>
      </c>
      <c r="D142" s="4">
        <v>25.6</v>
      </c>
      <c r="E142" s="4" t="s">
        <v>766</v>
      </c>
      <c r="F142" s="5" t="str">
        <f>_xlfn.DISPIMG("ID_4981FA5F01B349BBACBFB940770C69C1",1)</f>
        <v>=DISPIMG("ID_4981FA5F01B349BBACBFB940770C69C1",1)</v>
      </c>
      <c r="G142" s="6" t="s">
        <v>684</v>
      </c>
      <c r="H142" s="4" t="s">
        <v>640</v>
      </c>
      <c r="I142" s="4" t="s">
        <v>482</v>
      </c>
    </row>
    <row r="143" ht="202.5" customHeight="1" spans="1:9">
      <c r="A143" s="3">
        <v>142</v>
      </c>
      <c r="B143" s="4" t="s">
        <v>680</v>
      </c>
      <c r="C143" s="4" t="s">
        <v>11</v>
      </c>
      <c r="D143" s="4">
        <v>160</v>
      </c>
      <c r="E143" s="4" t="s">
        <v>766</v>
      </c>
      <c r="F143" s="5" t="str">
        <f>_xlfn.DISPIMG("ID_214C14744FAB49108F67B011CB81B07F",1)</f>
        <v>=DISPIMG("ID_214C14744FAB49108F67B011CB81B07F",1)</v>
      </c>
      <c r="G143" s="6" t="s">
        <v>681</v>
      </c>
      <c r="H143" s="4" t="s">
        <v>682</v>
      </c>
      <c r="I143" s="4" t="s">
        <v>482</v>
      </c>
    </row>
    <row r="144" ht="162" customHeight="1" spans="1:9">
      <c r="A144" s="3">
        <v>143</v>
      </c>
      <c r="B144" s="4" t="s">
        <v>126</v>
      </c>
      <c r="C144" s="4" t="s">
        <v>11</v>
      </c>
      <c r="D144" s="4">
        <v>80</v>
      </c>
      <c r="E144" s="4" t="s">
        <v>766</v>
      </c>
      <c r="F144" s="5" t="str">
        <f>_xlfn.DISPIMG("ID_5C9C9274D0AC4FE1AF929E6CD56ACF66",1)</f>
        <v>=DISPIMG("ID_5C9C9274D0AC4FE1AF929E6CD56ACF66",1)</v>
      </c>
      <c r="G144" s="6" t="s">
        <v>123</v>
      </c>
      <c r="H144" s="4" t="s">
        <v>482</v>
      </c>
      <c r="I144" s="4" t="s">
        <v>482</v>
      </c>
    </row>
    <row r="145" ht="148.5" customHeight="1" spans="1:9">
      <c r="A145" s="3">
        <v>144</v>
      </c>
      <c r="B145" s="4" t="s">
        <v>665</v>
      </c>
      <c r="C145" s="4" t="s">
        <v>11</v>
      </c>
      <c r="D145" s="4">
        <v>368.85</v>
      </c>
      <c r="E145" s="4" t="s">
        <v>766</v>
      </c>
      <c r="F145" s="5" t="str">
        <f>_xlfn.DISPIMG("ID_1F01C3E8F0164A28897D571CE508883C",1)</f>
        <v>=DISPIMG("ID_1F01C3E8F0164A28897D571CE508883C",1)</v>
      </c>
      <c r="G145" s="6" t="s">
        <v>666</v>
      </c>
      <c r="H145" s="4" t="s">
        <v>640</v>
      </c>
      <c r="I145" s="4" t="s">
        <v>482</v>
      </c>
    </row>
    <row r="146" ht="216" customHeight="1" spans="1:9">
      <c r="A146" s="3">
        <v>145</v>
      </c>
      <c r="B146" s="4" t="s">
        <v>413</v>
      </c>
      <c r="C146" s="4" t="s">
        <v>11</v>
      </c>
      <c r="D146" s="4">
        <v>0.5</v>
      </c>
      <c r="E146" s="4" t="s">
        <v>766</v>
      </c>
      <c r="F146" s="5" t="str">
        <f>_xlfn.DISPIMG("ID_C14215B4971D4272B12B6C3B687482B6",1)</f>
        <v>=DISPIMG("ID_C14215B4971D4272B12B6C3B687482B6",1)</v>
      </c>
      <c r="G146" s="6" t="s">
        <v>414</v>
      </c>
      <c r="H146" s="4" t="s">
        <v>482</v>
      </c>
      <c r="I146" s="4" t="s">
        <v>482</v>
      </c>
    </row>
    <row r="147" ht="229.5" customHeight="1" spans="1:9">
      <c r="A147" s="3">
        <v>146</v>
      </c>
      <c r="B147" s="4" t="s">
        <v>650</v>
      </c>
      <c r="C147" s="4" t="s">
        <v>11</v>
      </c>
      <c r="D147" s="4">
        <v>896.8</v>
      </c>
      <c r="E147" s="4" t="s">
        <v>766</v>
      </c>
      <c r="F147" s="5" t="str">
        <f>_xlfn.DISPIMG("ID_DA8A74B4BA4141CAB8EBBA38F945D1F4",1)</f>
        <v>=DISPIMG("ID_DA8A74B4BA4141CAB8EBBA38F945D1F4",1)</v>
      </c>
      <c r="G147" s="6" t="s">
        <v>651</v>
      </c>
      <c r="H147" s="4" t="s">
        <v>652</v>
      </c>
      <c r="I147" s="4" t="s">
        <v>482</v>
      </c>
    </row>
    <row r="148" ht="148.5" customHeight="1" spans="1:9">
      <c r="A148" s="3">
        <v>147</v>
      </c>
      <c r="B148" s="4" t="s">
        <v>768</v>
      </c>
      <c r="C148" s="7" t="s">
        <v>11</v>
      </c>
      <c r="D148" s="4">
        <v>50</v>
      </c>
      <c r="E148" s="4" t="s">
        <v>766</v>
      </c>
      <c r="F148" s="5" t="str">
        <f>_xlfn.DISPIMG("ID_DF73C0A1808F4C59BECA3DCE8FD90ACE",1)</f>
        <v>=DISPIMG("ID_DF73C0A1808F4C59BECA3DCE8FD90ACE",1)</v>
      </c>
      <c r="G148" s="6" t="s">
        <v>769</v>
      </c>
      <c r="H148" s="7" t="s">
        <v>482</v>
      </c>
      <c r="I148" s="7" t="s">
        <v>482</v>
      </c>
    </row>
    <row r="149" ht="148.5" customHeight="1" spans="1:9">
      <c r="A149" s="3">
        <v>148</v>
      </c>
      <c r="B149" s="4" t="s">
        <v>770</v>
      </c>
      <c r="C149" s="7" t="s">
        <v>11</v>
      </c>
      <c r="D149" s="4">
        <v>100</v>
      </c>
      <c r="E149" s="4" t="s">
        <v>766</v>
      </c>
      <c r="F149" s="5" t="str">
        <f>_xlfn.DISPIMG("ID_6B252818AC7946078F448D4D30A49C05",1)</f>
        <v>=DISPIMG("ID_6B252818AC7946078F448D4D30A49C05",1)</v>
      </c>
      <c r="G149" s="6" t="s">
        <v>771</v>
      </c>
      <c r="H149" s="7" t="s">
        <v>482</v>
      </c>
      <c r="I149" s="7" t="s">
        <v>482</v>
      </c>
    </row>
    <row r="150" ht="162" customHeight="1" spans="1:9">
      <c r="A150" s="3">
        <v>149</v>
      </c>
      <c r="B150" s="4" t="s">
        <v>772</v>
      </c>
      <c r="C150" s="7" t="s">
        <v>11</v>
      </c>
      <c r="D150" s="4">
        <v>50</v>
      </c>
      <c r="E150" s="4" t="s">
        <v>766</v>
      </c>
      <c r="F150" s="5" t="str">
        <f>_xlfn.DISPIMG("ID_581AF854BC4D4FD9A303E72E8B0ADD05",1)</f>
        <v>=DISPIMG("ID_581AF854BC4D4FD9A303E72E8B0ADD05",1)</v>
      </c>
      <c r="G150" s="6" t="s">
        <v>773</v>
      </c>
      <c r="H150" s="7" t="s">
        <v>482</v>
      </c>
      <c r="I150" s="7" t="s">
        <v>482</v>
      </c>
    </row>
    <row r="151" ht="148.5" customHeight="1" spans="1:9">
      <c r="A151" s="3">
        <v>150</v>
      </c>
      <c r="B151" s="4" t="s">
        <v>774</v>
      </c>
      <c r="C151" s="7" t="s">
        <v>11</v>
      </c>
      <c r="D151" s="4">
        <v>50</v>
      </c>
      <c r="E151" s="4" t="s">
        <v>766</v>
      </c>
      <c r="F151" s="5" t="str">
        <f>_xlfn.DISPIMG("ID_9E2828C9FC9B4DA49A6396761CD3FD5D",1)</f>
        <v>=DISPIMG("ID_9E2828C9FC9B4DA49A6396761CD3FD5D",1)</v>
      </c>
      <c r="G151" s="6" t="s">
        <v>775</v>
      </c>
      <c r="H151" s="7" t="s">
        <v>482</v>
      </c>
      <c r="I151" s="7" t="s">
        <v>482</v>
      </c>
    </row>
    <row r="152" ht="148.5" customHeight="1" spans="1:9">
      <c r="A152" s="3">
        <v>151</v>
      </c>
      <c r="B152" s="4" t="s">
        <v>472</v>
      </c>
      <c r="C152" s="4" t="s">
        <v>11</v>
      </c>
      <c r="D152" s="4">
        <v>359</v>
      </c>
      <c r="E152" s="4" t="s">
        <v>766</v>
      </c>
      <c r="F152" s="5" t="str">
        <f>_xlfn.DISPIMG("ID_9F2A4F8DC9CB4A1BACD7D7AD04784264",1)</f>
        <v>=DISPIMG("ID_9F2A4F8DC9CB4A1BACD7D7AD04784264",1)</v>
      </c>
      <c r="G152" s="6" t="s">
        <v>473</v>
      </c>
      <c r="H152" s="4" t="s">
        <v>640</v>
      </c>
      <c r="I152" s="4" t="s">
        <v>474</v>
      </c>
    </row>
    <row r="153" ht="162" customHeight="1" spans="1:9">
      <c r="A153" s="3">
        <v>152</v>
      </c>
      <c r="B153" s="4" t="s">
        <v>686</v>
      </c>
      <c r="C153" s="4" t="s">
        <v>11</v>
      </c>
      <c r="D153" s="4">
        <v>79.7</v>
      </c>
      <c r="E153" s="4" t="s">
        <v>776</v>
      </c>
      <c r="F153" s="5" t="str">
        <f>_xlfn.DISPIMG("ID_6DBDC42181004921BDBABB7BC4C5A115",1)</f>
        <v>=DISPIMG("ID_6DBDC42181004921BDBABB7BC4C5A115",1)</v>
      </c>
      <c r="G153" s="6" t="s">
        <v>687</v>
      </c>
      <c r="H153" s="4" t="s">
        <v>482</v>
      </c>
      <c r="I153" s="4" t="s">
        <v>482</v>
      </c>
    </row>
    <row r="154" ht="135" customHeight="1" spans="1:9">
      <c r="A154" s="3">
        <v>153</v>
      </c>
      <c r="B154" s="4" t="s">
        <v>705</v>
      </c>
      <c r="C154" s="4" t="s">
        <v>11</v>
      </c>
      <c r="D154" s="4">
        <v>17.9</v>
      </c>
      <c r="E154" s="4" t="s">
        <v>776</v>
      </c>
      <c r="F154" s="5" t="str">
        <f>_xlfn.DISPIMG("ID_137FF92BD3D342CEA75CBE60C9A189D4",1)</f>
        <v>=DISPIMG("ID_137FF92BD3D342CEA75CBE60C9A189D4",1)</v>
      </c>
      <c r="G154" s="6" t="s">
        <v>706</v>
      </c>
      <c r="H154" s="4" t="s">
        <v>482</v>
      </c>
      <c r="I154" s="4" t="s">
        <v>482</v>
      </c>
    </row>
    <row r="155" ht="162" customHeight="1" spans="1:9">
      <c r="A155" s="3">
        <v>154</v>
      </c>
      <c r="B155" s="4" t="s">
        <v>722</v>
      </c>
      <c r="C155" s="4" t="s">
        <v>11</v>
      </c>
      <c r="D155" s="4">
        <v>1.5</v>
      </c>
      <c r="E155" s="4" t="s">
        <v>776</v>
      </c>
      <c r="F155" s="5" t="str">
        <f>_xlfn.DISPIMG("ID_C6E334D40735453DAFD7769DA29BD38C",1)</f>
        <v>=DISPIMG("ID_C6E334D40735453DAFD7769DA29BD38C",1)</v>
      </c>
      <c r="G155" s="6" t="s">
        <v>723</v>
      </c>
      <c r="H155" s="4" t="s">
        <v>716</v>
      </c>
      <c r="I155" s="4" t="s">
        <v>482</v>
      </c>
    </row>
    <row r="156" ht="148.5" customHeight="1" spans="1:9">
      <c r="A156" s="3">
        <v>155</v>
      </c>
      <c r="B156" s="4" t="s">
        <v>777</v>
      </c>
      <c r="C156" s="7" t="s">
        <v>11</v>
      </c>
      <c r="D156" s="4">
        <v>50</v>
      </c>
      <c r="E156" s="4" t="s">
        <v>776</v>
      </c>
      <c r="F156" s="5" t="str">
        <f>_xlfn.DISPIMG("ID_2501F428DAB84B0FBD743363ED34878C",1)</f>
        <v>=DISPIMG("ID_2501F428DAB84B0FBD743363ED34878C",1)</v>
      </c>
      <c r="G156" s="6" t="s">
        <v>778</v>
      </c>
      <c r="H156" s="7" t="s">
        <v>482</v>
      </c>
      <c r="I156" s="7" t="s">
        <v>482</v>
      </c>
    </row>
    <row r="157" ht="162" customHeight="1" spans="1:9">
      <c r="A157" s="3">
        <v>156</v>
      </c>
      <c r="B157" s="4" t="s">
        <v>415</v>
      </c>
      <c r="C157" s="4" t="s">
        <v>11</v>
      </c>
      <c r="D157" s="4">
        <v>597.3</v>
      </c>
      <c r="E157" s="4" t="s">
        <v>776</v>
      </c>
      <c r="F157" s="5" t="str">
        <f>_xlfn.DISPIMG("ID_035E6090903944B4888937E74CF64859",1)</f>
        <v>=DISPIMG("ID_035E6090903944B4888937E74CF64859",1)</v>
      </c>
      <c r="G157" s="6" t="s">
        <v>416</v>
      </c>
      <c r="H157" s="4" t="s">
        <v>482</v>
      </c>
      <c r="I157" s="4" t="s">
        <v>482</v>
      </c>
    </row>
    <row r="158" ht="162" customHeight="1" spans="1:9">
      <c r="A158" s="3">
        <v>157</v>
      </c>
      <c r="B158" s="4" t="s">
        <v>714</v>
      </c>
      <c r="C158" s="4" t="s">
        <v>11</v>
      </c>
      <c r="D158" s="4">
        <v>8</v>
      </c>
      <c r="E158" s="4" t="s">
        <v>776</v>
      </c>
      <c r="F158" s="5" t="str">
        <f>_xlfn.DISPIMG("ID_3DF693E3EEA240FDA0160FDD049BAE50",1)</f>
        <v>=DISPIMG("ID_3DF693E3EEA240FDA0160FDD049BAE50",1)</v>
      </c>
      <c r="G158" s="6" t="s">
        <v>715</v>
      </c>
      <c r="H158" s="4" t="s">
        <v>716</v>
      </c>
      <c r="I158" s="4" t="s">
        <v>482</v>
      </c>
    </row>
    <row r="159" ht="175.5" customHeight="1" spans="1:9">
      <c r="A159" s="3">
        <v>158</v>
      </c>
      <c r="B159" s="4" t="s">
        <v>391</v>
      </c>
      <c r="C159" s="4" t="s">
        <v>11</v>
      </c>
      <c r="D159" s="4">
        <v>209.01</v>
      </c>
      <c r="E159" s="4" t="s">
        <v>779</v>
      </c>
      <c r="F159" s="5" t="str">
        <f>_xlfn.DISPIMG("ID_523043BD880A4057BCAD543CCC915D74",1)</f>
        <v>=DISPIMG("ID_523043BD880A4057BCAD543CCC915D74",1)</v>
      </c>
      <c r="G159" s="6" t="s">
        <v>393</v>
      </c>
      <c r="H159" s="4" t="s">
        <v>664</v>
      </c>
      <c r="I159" s="4" t="s">
        <v>482</v>
      </c>
    </row>
    <row r="160" ht="148.5" customHeight="1" spans="1:9">
      <c r="A160" s="3">
        <v>159</v>
      </c>
      <c r="B160" s="4" t="s">
        <v>397</v>
      </c>
      <c r="C160" s="4" t="s">
        <v>11</v>
      </c>
      <c r="D160" s="4">
        <v>656.95</v>
      </c>
      <c r="E160" s="4" t="s">
        <v>779</v>
      </c>
      <c r="F160" s="5" t="str">
        <f>_xlfn.DISPIMG("ID_56A5EBADB9474040944A382A2B8C4656",1)</f>
        <v>=DISPIMG("ID_56A5EBADB9474040944A382A2B8C4656",1)</v>
      </c>
      <c r="G160" s="6" t="s">
        <v>399</v>
      </c>
      <c r="H160" s="4" t="s">
        <v>653</v>
      </c>
      <c r="I160" s="4" t="s">
        <v>482</v>
      </c>
    </row>
    <row r="161" ht="162" customHeight="1" spans="1:9">
      <c r="A161" s="3">
        <v>160</v>
      </c>
      <c r="B161" s="4" t="s">
        <v>655</v>
      </c>
      <c r="C161" s="4" t="s">
        <v>11</v>
      </c>
      <c r="D161" s="4">
        <v>342.25</v>
      </c>
      <c r="E161" s="4" t="s">
        <v>779</v>
      </c>
      <c r="F161" s="5" t="str">
        <f>_xlfn.DISPIMG("ID_79CCAC061C134A489242388F92210B21",1)</f>
        <v>=DISPIMG("ID_79CCAC061C134A489242388F92210B21",1)</v>
      </c>
      <c r="G161" s="6" t="s">
        <v>656</v>
      </c>
      <c r="H161" s="4" t="s">
        <v>513</v>
      </c>
      <c r="I161" s="4" t="s">
        <v>482</v>
      </c>
    </row>
    <row r="162" ht="162" customHeight="1" spans="1:9">
      <c r="A162" s="3">
        <v>161</v>
      </c>
      <c r="B162" s="4" t="s">
        <v>657</v>
      </c>
      <c r="C162" s="4" t="s">
        <v>11</v>
      </c>
      <c r="D162" s="4">
        <v>963.55</v>
      </c>
      <c r="E162" s="4" t="s">
        <v>779</v>
      </c>
      <c r="F162" s="5" t="str">
        <f>_xlfn.DISPIMG("ID_1BA2D91D9E134ABEA4F5798BB0D9B71E",1)</f>
        <v>=DISPIMG("ID_1BA2D91D9E134ABEA4F5798BB0D9B71E",1)</v>
      </c>
      <c r="G162" s="6" t="s">
        <v>658</v>
      </c>
      <c r="H162" s="4" t="s">
        <v>654</v>
      </c>
      <c r="I162" s="4" t="s">
        <v>482</v>
      </c>
    </row>
    <row r="163" ht="175.5" customHeight="1" spans="1:9">
      <c r="A163" s="3">
        <v>162</v>
      </c>
      <c r="B163" s="4" t="s">
        <v>403</v>
      </c>
      <c r="C163" s="4" t="s">
        <v>11</v>
      </c>
      <c r="D163" s="4">
        <v>308.65</v>
      </c>
      <c r="E163" s="4" t="s">
        <v>779</v>
      </c>
      <c r="F163" s="5" t="str">
        <f>_xlfn.DISPIMG("ID_C992643B6EDC45BDB0D89028E9E9A292",1)</f>
        <v>=DISPIMG("ID_C992643B6EDC45BDB0D89028E9E9A292",1)</v>
      </c>
      <c r="G163" s="6" t="s">
        <v>405</v>
      </c>
      <c r="H163" s="4" t="s">
        <v>482</v>
      </c>
      <c r="I163" s="4" t="s">
        <v>482</v>
      </c>
    </row>
    <row r="164" ht="162" customHeight="1" spans="1:9">
      <c r="A164" s="3">
        <v>163</v>
      </c>
      <c r="B164" s="4" t="s">
        <v>466</v>
      </c>
      <c r="C164" s="4" t="s">
        <v>11</v>
      </c>
      <c r="D164" s="4">
        <v>100</v>
      </c>
      <c r="E164" s="4" t="s">
        <v>779</v>
      </c>
      <c r="F164" s="5" t="str">
        <f>_xlfn.DISPIMG("ID_AE4656575A2F4E2E8CAC0F3A232E4EF3",1)</f>
        <v>=DISPIMG("ID_AE4656575A2F4E2E8CAC0F3A232E4EF3",1)</v>
      </c>
      <c r="G164" s="6" t="s">
        <v>467</v>
      </c>
      <c r="H164" s="4" t="s">
        <v>482</v>
      </c>
      <c r="I164" s="4" t="s">
        <v>482</v>
      </c>
    </row>
    <row r="165" ht="162" customHeight="1" spans="1:9">
      <c r="A165" s="3">
        <v>164</v>
      </c>
      <c r="B165" s="4" t="s">
        <v>741</v>
      </c>
      <c r="C165" s="4" t="s">
        <v>30</v>
      </c>
      <c r="D165" s="4">
        <v>1</v>
      </c>
      <c r="E165" s="4" t="s">
        <v>780</v>
      </c>
      <c r="F165" s="5" t="str">
        <f>_xlfn.DISPIMG("ID_DAC89E4EAA8349F1893651C6B1F50484",1)</f>
        <v>=DISPIMG("ID_DAC89E4EAA8349F1893651C6B1F50484",1)</v>
      </c>
      <c r="G165" s="6" t="s">
        <v>742</v>
      </c>
      <c r="H165" s="4" t="s">
        <v>743</v>
      </c>
      <c r="I165" s="4" t="s">
        <v>482</v>
      </c>
    </row>
    <row r="166" ht="162" customHeight="1" spans="1:9">
      <c r="A166" s="3">
        <v>165</v>
      </c>
      <c r="B166" s="4" t="s">
        <v>781</v>
      </c>
      <c r="C166" s="4" t="s">
        <v>11</v>
      </c>
      <c r="D166" s="4">
        <v>2</v>
      </c>
      <c r="E166" s="4" t="s">
        <v>780</v>
      </c>
      <c r="F166" s="5" t="str">
        <f>_xlfn.DISPIMG("ID_1ED2423EB69D400C8A2A6C2C4A2342AE",1)</f>
        <v>=DISPIMG("ID_1ED2423EB69D400C8A2A6C2C4A2342AE",1)</v>
      </c>
      <c r="G166" s="6" t="s">
        <v>713</v>
      </c>
      <c r="H166" s="4" t="s">
        <v>782</v>
      </c>
      <c r="I166" s="4" t="s">
        <v>482</v>
      </c>
    </row>
    <row r="167" ht="175.5" customHeight="1" spans="1:9">
      <c r="A167" s="3">
        <v>166</v>
      </c>
      <c r="B167" s="4" t="s">
        <v>670</v>
      </c>
      <c r="C167" s="4" t="s">
        <v>11</v>
      </c>
      <c r="D167" s="4">
        <v>361.5</v>
      </c>
      <c r="E167" s="4" t="s">
        <v>780</v>
      </c>
      <c r="F167" s="5" t="str">
        <f>_xlfn.DISPIMG("ID_08C3CFBA41FA498F8FB03F3832092395",1)</f>
        <v>=DISPIMG("ID_08C3CFBA41FA498F8FB03F3832092395",1)</v>
      </c>
      <c r="G167" s="6" t="s">
        <v>668</v>
      </c>
      <c r="H167" s="4" t="s">
        <v>482</v>
      </c>
      <c r="I167" s="4" t="s">
        <v>482</v>
      </c>
    </row>
    <row r="168" ht="148.5" customHeight="1" spans="1:9">
      <c r="A168" s="3">
        <v>167</v>
      </c>
      <c r="B168" s="4" t="s">
        <v>691</v>
      </c>
      <c r="C168" s="4" t="s">
        <v>11</v>
      </c>
      <c r="D168" s="4">
        <v>106</v>
      </c>
      <c r="E168" s="4" t="s">
        <v>780</v>
      </c>
      <c r="F168" s="5" t="str">
        <f>_xlfn.DISPIMG("ID_49B62D73B7A74BF5930FFC374056D35F",1)</f>
        <v>=DISPIMG("ID_49B62D73B7A74BF5930FFC374056D35F",1)</v>
      </c>
      <c r="G168" s="6" t="s">
        <v>692</v>
      </c>
      <c r="H168" s="4" t="s">
        <v>482</v>
      </c>
      <c r="I168" s="4" t="s">
        <v>482</v>
      </c>
    </row>
    <row r="169" ht="148.5" customHeight="1" spans="1:9">
      <c r="A169" s="3">
        <v>168</v>
      </c>
      <c r="B169" s="4" t="s">
        <v>667</v>
      </c>
      <c r="C169" s="4" t="s">
        <v>11</v>
      </c>
      <c r="D169" s="4">
        <v>793.5</v>
      </c>
      <c r="E169" s="4" t="s">
        <v>780</v>
      </c>
      <c r="F169" s="5" t="str">
        <f>_xlfn.DISPIMG("ID_768CBA251E354484B88CD4C8C87D8A43",1)</f>
        <v>=DISPIMG("ID_768CBA251E354484B88CD4C8C87D8A43",1)</v>
      </c>
      <c r="G169" s="6" t="s">
        <v>668</v>
      </c>
      <c r="H169" s="4" t="s">
        <v>482</v>
      </c>
      <c r="I169" s="4" t="s">
        <v>482</v>
      </c>
    </row>
    <row r="170" ht="148.5" customHeight="1" spans="1:9">
      <c r="A170" s="3">
        <v>169</v>
      </c>
      <c r="B170" s="4" t="s">
        <v>693</v>
      </c>
      <c r="C170" s="4" t="s">
        <v>11</v>
      </c>
      <c r="D170" s="4">
        <v>130.55</v>
      </c>
      <c r="E170" s="4" t="s">
        <v>780</v>
      </c>
      <c r="F170" s="5" t="str">
        <f>_xlfn.DISPIMG("ID_DBD7C632BD584BF28ECACF777F192A12",1)</f>
        <v>=DISPIMG("ID_DBD7C632BD584BF28ECACF777F192A12",1)</v>
      </c>
      <c r="G170" s="6" t="s">
        <v>694</v>
      </c>
      <c r="H170" s="4" t="s">
        <v>482</v>
      </c>
      <c r="I170" s="4" t="s">
        <v>482</v>
      </c>
    </row>
    <row r="171" ht="202.5" customHeight="1" spans="1:9">
      <c r="A171" s="3">
        <v>170</v>
      </c>
      <c r="B171" s="4" t="s">
        <v>702</v>
      </c>
      <c r="C171" s="4" t="s">
        <v>11</v>
      </c>
      <c r="D171" s="4">
        <v>49.9</v>
      </c>
      <c r="E171" s="4" t="s">
        <v>780</v>
      </c>
      <c r="F171" s="5" t="str">
        <f>_xlfn.DISPIMG("ID_B055AC7BDAFD41C09396A52B195A370C",1)</f>
        <v>=DISPIMG("ID_B055AC7BDAFD41C09396A52B195A370C",1)</v>
      </c>
      <c r="G171" s="6" t="s">
        <v>703</v>
      </c>
      <c r="H171" s="4" t="s">
        <v>482</v>
      </c>
      <c r="I171" s="4" t="s">
        <v>482</v>
      </c>
    </row>
    <row r="172" ht="162" customHeight="1" spans="1:9">
      <c r="A172" s="3">
        <v>171</v>
      </c>
      <c r="B172" s="4" t="s">
        <v>720</v>
      </c>
      <c r="C172" s="4" t="s">
        <v>11</v>
      </c>
      <c r="D172" s="4">
        <v>2.4</v>
      </c>
      <c r="E172" s="4" t="s">
        <v>780</v>
      </c>
      <c r="F172" s="5" t="str">
        <f>_xlfn.DISPIMG("ID_71107CF0737F408DB31477BFD4EDAA8E",1)</f>
        <v>=DISPIMG("ID_71107CF0737F408DB31477BFD4EDAA8E",1)</v>
      </c>
      <c r="G172" s="6" t="s">
        <v>721</v>
      </c>
      <c r="H172" s="4" t="s">
        <v>482</v>
      </c>
      <c r="I172" s="4" t="s">
        <v>482</v>
      </c>
    </row>
    <row r="173" ht="162" customHeight="1" spans="1:9">
      <c r="A173" s="3">
        <v>172</v>
      </c>
      <c r="B173" s="4" t="s">
        <v>783</v>
      </c>
      <c r="C173" s="7" t="s">
        <v>11</v>
      </c>
      <c r="D173" s="4">
        <v>50</v>
      </c>
      <c r="E173" s="4" t="s">
        <v>780</v>
      </c>
      <c r="F173" s="5" t="str">
        <f>_xlfn.DISPIMG("ID_AB13DEF2BBBB44668975E9A382355869",1)</f>
        <v>=DISPIMG("ID_AB13DEF2BBBB44668975E9A382355869",1)</v>
      </c>
      <c r="G173" s="6" t="s">
        <v>784</v>
      </c>
      <c r="H173" s="7" t="s">
        <v>785</v>
      </c>
      <c r="I173" s="7" t="s">
        <v>482</v>
      </c>
    </row>
    <row r="174" ht="148.5" customHeight="1" spans="1:9">
      <c r="A174" s="3">
        <v>173</v>
      </c>
      <c r="B174" s="4" t="s">
        <v>786</v>
      </c>
      <c r="C174" s="7" t="s">
        <v>11</v>
      </c>
      <c r="D174" s="4">
        <v>50</v>
      </c>
      <c r="E174" s="4" t="s">
        <v>780</v>
      </c>
      <c r="F174" s="5" t="str">
        <f>_xlfn.DISPIMG("ID_8CAC86F8CE5241F5A0CBAF3348E8C801",1)</f>
        <v>=DISPIMG("ID_8CAC86F8CE5241F5A0CBAF3348E8C801",1)</v>
      </c>
      <c r="G174" s="6" t="s">
        <v>787</v>
      </c>
      <c r="H174" s="7" t="s">
        <v>482</v>
      </c>
      <c r="I174" s="7" t="s">
        <v>482</v>
      </c>
    </row>
    <row r="175" ht="162" customHeight="1" spans="1:9">
      <c r="A175" s="3">
        <v>174</v>
      </c>
      <c r="B175" s="4" t="s">
        <v>788</v>
      </c>
      <c r="C175" s="4" t="s">
        <v>11</v>
      </c>
      <c r="D175" s="4">
        <v>23564.35</v>
      </c>
      <c r="E175" s="4" t="s">
        <v>789</v>
      </c>
      <c r="F175" s="5" t="str">
        <f>_xlfn.DISPIMG("ID_861898AA07D440DA9D642998FBF48EC0",1)</f>
        <v>=DISPIMG("ID_861898AA07D440DA9D642998FBF48EC0",1)</v>
      </c>
      <c r="G175" s="6" t="s">
        <v>790</v>
      </c>
      <c r="H175" s="4" t="s">
        <v>482</v>
      </c>
      <c r="I175" s="4" t="s">
        <v>482</v>
      </c>
    </row>
    <row r="176" ht="148.5" customHeight="1" spans="1:9">
      <c r="A176" s="3">
        <v>175</v>
      </c>
      <c r="B176" s="4" t="s">
        <v>159</v>
      </c>
      <c r="C176" s="4" t="s">
        <v>160</v>
      </c>
      <c r="D176" s="4">
        <v>37</v>
      </c>
      <c r="E176" s="4" t="s">
        <v>789</v>
      </c>
      <c r="F176" s="5" t="str">
        <f>_xlfn.DISPIMG("ID_19504E9858C14ED684A03CFDE3D52587",1)</f>
        <v>=DISPIMG("ID_19504E9858C14ED684A03CFDE3D52587",1)</v>
      </c>
      <c r="G176" s="6" t="s">
        <v>161</v>
      </c>
      <c r="H176" s="4" t="s">
        <v>482</v>
      </c>
      <c r="I176" s="4" t="s">
        <v>482</v>
      </c>
    </row>
    <row r="177" ht="189" customHeight="1" spans="1:9">
      <c r="A177" s="3">
        <v>176</v>
      </c>
      <c r="B177" s="4" t="s">
        <v>162</v>
      </c>
      <c r="C177" s="4" t="s">
        <v>11</v>
      </c>
      <c r="D177" s="4">
        <v>2844.05</v>
      </c>
      <c r="E177" s="4" t="s">
        <v>789</v>
      </c>
      <c r="F177" s="5" t="str">
        <f>_xlfn.DISPIMG("ID_FFA55079C1E848F4835C31DA44F0E26B",1)</f>
        <v>=DISPIMG("ID_FFA55079C1E848F4835C31DA44F0E26B",1)</v>
      </c>
      <c r="G177" s="6" t="s">
        <v>163</v>
      </c>
      <c r="H177" s="4" t="s">
        <v>482</v>
      </c>
      <c r="I177" s="4" t="s">
        <v>482</v>
      </c>
    </row>
    <row r="178" ht="148.5" customHeight="1" spans="1:9">
      <c r="A178" s="3">
        <v>177</v>
      </c>
      <c r="B178" s="4" t="s">
        <v>174</v>
      </c>
      <c r="C178" s="4" t="s">
        <v>11</v>
      </c>
      <c r="D178" s="4">
        <v>28883.75</v>
      </c>
      <c r="E178" s="4" t="s">
        <v>789</v>
      </c>
      <c r="F178" s="5" t="str">
        <f>_xlfn.DISPIMG("ID_7593480BB7AB499EB18F4E382E026222",1)</f>
        <v>=DISPIMG("ID_7593480BB7AB499EB18F4E382E026222",1)</v>
      </c>
      <c r="G178" s="6" t="s">
        <v>175</v>
      </c>
      <c r="H178" s="4" t="s">
        <v>482</v>
      </c>
      <c r="I178" s="4" t="s">
        <v>482</v>
      </c>
    </row>
    <row r="179" ht="148.5" customHeight="1" spans="1:9">
      <c r="A179" s="3">
        <v>178</v>
      </c>
      <c r="B179" s="4" t="s">
        <v>622</v>
      </c>
      <c r="C179" s="4" t="s">
        <v>11</v>
      </c>
      <c r="D179" s="4">
        <v>11</v>
      </c>
      <c r="E179" s="4" t="s">
        <v>789</v>
      </c>
      <c r="F179" s="5" t="str">
        <f>_xlfn.DISPIMG("ID_42150826A52F4546A966ABBCF4B99743",1)</f>
        <v>=DISPIMG("ID_42150826A52F4546A966ABBCF4B99743",1)</v>
      </c>
      <c r="G179" s="6" t="s">
        <v>623</v>
      </c>
      <c r="H179" s="4" t="s">
        <v>624</v>
      </c>
      <c r="I179" s="4" t="s">
        <v>482</v>
      </c>
    </row>
    <row r="180" ht="162" customHeight="1" spans="1:9">
      <c r="A180" s="3">
        <v>179</v>
      </c>
      <c r="B180" s="4" t="s">
        <v>190</v>
      </c>
      <c r="C180" s="4" t="s">
        <v>11</v>
      </c>
      <c r="D180" s="4">
        <v>1852.6</v>
      </c>
      <c r="E180" s="4" t="s">
        <v>789</v>
      </c>
      <c r="F180" s="5" t="str">
        <f>_xlfn.DISPIMG("ID_03CED16A45A449368C9F8365A877FCFD",1)</f>
        <v>=DISPIMG("ID_03CED16A45A449368C9F8365A877FCFD",1)</v>
      </c>
      <c r="G180" s="6" t="s">
        <v>191</v>
      </c>
      <c r="H180" s="4" t="s">
        <v>482</v>
      </c>
      <c r="I180" s="4" t="s">
        <v>482</v>
      </c>
    </row>
    <row r="181" ht="162" customHeight="1" spans="1:9">
      <c r="A181" s="3">
        <v>180</v>
      </c>
      <c r="B181" s="4" t="s">
        <v>196</v>
      </c>
      <c r="C181" s="4" t="s">
        <v>11</v>
      </c>
      <c r="D181" s="4">
        <v>6990.65</v>
      </c>
      <c r="E181" s="4" t="s">
        <v>789</v>
      </c>
      <c r="F181" s="5" t="str">
        <f>_xlfn.DISPIMG("ID_E0E6BDA6C3B44078B0B12291F7A2DFD6",1)</f>
        <v>=DISPIMG("ID_E0E6BDA6C3B44078B0B12291F7A2DFD6",1)</v>
      </c>
      <c r="G181" s="6" t="s">
        <v>197</v>
      </c>
      <c r="H181" s="4" t="s">
        <v>482</v>
      </c>
      <c r="I181" s="4" t="s">
        <v>482</v>
      </c>
    </row>
    <row r="182" ht="148.5" customHeight="1" spans="1:9">
      <c r="A182" s="3">
        <v>181</v>
      </c>
      <c r="B182" s="4" t="s">
        <v>206</v>
      </c>
      <c r="C182" s="4" t="s">
        <v>11</v>
      </c>
      <c r="D182" s="4">
        <v>941.15</v>
      </c>
      <c r="E182" s="4" t="s">
        <v>789</v>
      </c>
      <c r="F182" s="12" t="str">
        <f>_xlfn.DISPIMG("ID_E18E72C21E4D4032A59F6FA342DB924E",1)</f>
        <v>=DISPIMG("ID_E18E72C21E4D4032A59F6FA342DB924E",1)</v>
      </c>
      <c r="G182" s="6" t="s">
        <v>207</v>
      </c>
      <c r="H182" s="4" t="s">
        <v>482</v>
      </c>
      <c r="I182" s="4" t="s">
        <v>482</v>
      </c>
    </row>
    <row r="183" ht="113.15" spans="1:9">
      <c r="A183" s="3">
        <v>182</v>
      </c>
      <c r="B183" s="4" t="s">
        <v>210</v>
      </c>
      <c r="C183" s="4" t="s">
        <v>11</v>
      </c>
      <c r="D183" s="4">
        <v>294.35</v>
      </c>
      <c r="E183" s="4" t="s">
        <v>789</v>
      </c>
      <c r="F183" s="5" t="str">
        <f>_xlfn.DISPIMG("ID_0CE8FBAB271F4F449B68D9BA03A94FA4",1)</f>
        <v>=DISPIMG("ID_0CE8FBAB271F4F449B68D9BA03A94FA4",1)</v>
      </c>
      <c r="G183" s="6" t="s">
        <v>211</v>
      </c>
      <c r="H183" s="4" t="s">
        <v>482</v>
      </c>
      <c r="I183" s="4" t="s">
        <v>482</v>
      </c>
    </row>
    <row r="184" ht="148.5" customHeight="1" spans="1:9">
      <c r="A184" s="3">
        <v>183</v>
      </c>
      <c r="B184" s="4" t="s">
        <v>218</v>
      </c>
      <c r="C184" s="4" t="s">
        <v>11</v>
      </c>
      <c r="D184" s="4">
        <v>2201.75</v>
      </c>
      <c r="E184" s="4" t="s">
        <v>789</v>
      </c>
      <c r="F184" s="5" t="str">
        <f>_xlfn.DISPIMG("ID_3EB6E07274774EDEBC09C21CC5685BA5",1)</f>
        <v>=DISPIMG("ID_3EB6E07274774EDEBC09C21CC5685BA5",1)</v>
      </c>
      <c r="G184" s="6" t="s">
        <v>219</v>
      </c>
      <c r="H184" s="4" t="s">
        <v>482</v>
      </c>
      <c r="I184" s="4" t="s">
        <v>482</v>
      </c>
    </row>
    <row r="185" ht="162" customHeight="1" spans="1:9">
      <c r="A185" s="3">
        <v>184</v>
      </c>
      <c r="B185" s="4" t="s">
        <v>226</v>
      </c>
      <c r="C185" s="4" t="s">
        <v>11</v>
      </c>
      <c r="D185" s="4">
        <v>8105.2</v>
      </c>
      <c r="E185" s="4" t="s">
        <v>789</v>
      </c>
      <c r="F185" s="5" t="str">
        <f>_xlfn.DISPIMG("ID_9392E754C1D34AB99256EC25CCC76A7F",1)</f>
        <v>=DISPIMG("ID_9392E754C1D34AB99256EC25CCC76A7F",1)</v>
      </c>
      <c r="G185" s="6" t="s">
        <v>227</v>
      </c>
      <c r="H185" s="4" t="s">
        <v>482</v>
      </c>
      <c r="I185" s="4" t="s">
        <v>482</v>
      </c>
    </row>
    <row r="186" ht="202.5" customHeight="1" spans="1:9">
      <c r="A186" s="3">
        <v>185</v>
      </c>
      <c r="B186" s="4" t="s">
        <v>601</v>
      </c>
      <c r="C186" s="4" t="s">
        <v>11</v>
      </c>
      <c r="D186" s="4">
        <v>28.5</v>
      </c>
      <c r="E186" s="4" t="s">
        <v>789</v>
      </c>
      <c r="F186" s="5" t="str">
        <f>_xlfn.DISPIMG("ID_01329CBD067E4768BF7F2591F07AB162",1)</f>
        <v>=DISPIMG("ID_01329CBD067E4768BF7F2591F07AB162",1)</v>
      </c>
      <c r="G186" s="6" t="s">
        <v>602</v>
      </c>
      <c r="H186" s="4" t="s">
        <v>482</v>
      </c>
      <c r="I186" s="4" t="s">
        <v>482</v>
      </c>
    </row>
    <row r="187" ht="189" customHeight="1" spans="1:9">
      <c r="A187" s="3">
        <v>186</v>
      </c>
      <c r="B187" s="4" t="s">
        <v>239</v>
      </c>
      <c r="C187" s="4" t="s">
        <v>11</v>
      </c>
      <c r="D187" s="4">
        <v>45.3</v>
      </c>
      <c r="E187" s="4" t="s">
        <v>789</v>
      </c>
      <c r="F187" s="5" t="str">
        <f>_xlfn.DISPIMG("ID_9EDC0F7F9CF5442BBCD0FDF27AB89BCB",1)</f>
        <v>=DISPIMG("ID_9EDC0F7F9CF5442BBCD0FDF27AB89BCB",1)</v>
      </c>
      <c r="G187" s="6" t="s">
        <v>240</v>
      </c>
      <c r="H187" s="4" t="s">
        <v>482</v>
      </c>
      <c r="I187" s="4" t="s">
        <v>482</v>
      </c>
    </row>
    <row r="188" ht="189" customHeight="1" spans="1:9">
      <c r="A188" s="3">
        <v>187</v>
      </c>
      <c r="B188" s="4" t="s">
        <v>249</v>
      </c>
      <c r="C188" s="4" t="s">
        <v>11</v>
      </c>
      <c r="D188" s="4">
        <v>13800.2</v>
      </c>
      <c r="E188" s="4" t="s">
        <v>789</v>
      </c>
      <c r="F188" s="5" t="str">
        <f>_xlfn.DISPIMG("ID_7BA8145C8DC045DA942E4F01B5989DE7",1)</f>
        <v>=DISPIMG("ID_7BA8145C8DC045DA942E4F01B5989DE7",1)</v>
      </c>
      <c r="G188" s="6" t="s">
        <v>250</v>
      </c>
      <c r="H188" s="4" t="s">
        <v>482</v>
      </c>
      <c r="I188" s="4" t="s">
        <v>482</v>
      </c>
    </row>
    <row r="189" ht="162" customHeight="1" spans="1:9">
      <c r="A189" s="3">
        <v>188</v>
      </c>
      <c r="B189" s="4" t="s">
        <v>255</v>
      </c>
      <c r="C189" s="4" t="s">
        <v>11</v>
      </c>
      <c r="D189" s="4">
        <v>963.35</v>
      </c>
      <c r="E189" s="4" t="s">
        <v>789</v>
      </c>
      <c r="F189" s="5" t="str">
        <f>_xlfn.DISPIMG("ID_48255588F6514C5DB445B6591EDE803B",1)</f>
        <v>=DISPIMG("ID_48255588F6514C5DB445B6591EDE803B",1)</v>
      </c>
      <c r="G189" s="6" t="s">
        <v>256</v>
      </c>
      <c r="H189" s="4" t="s">
        <v>482</v>
      </c>
      <c r="I189" s="4" t="s">
        <v>482</v>
      </c>
    </row>
    <row r="190" ht="148.5" customHeight="1" spans="1:9">
      <c r="A190" s="3">
        <v>189</v>
      </c>
      <c r="B190" s="4" t="s">
        <v>259</v>
      </c>
      <c r="C190" s="4" t="s">
        <v>11</v>
      </c>
      <c r="D190" s="4">
        <v>854.7</v>
      </c>
      <c r="E190" s="4" t="s">
        <v>789</v>
      </c>
      <c r="F190" s="5" t="str">
        <f>_xlfn.DISPIMG("ID_6A9CD3A31AFF47CE893B1E09139DA8C9",1)</f>
        <v>=DISPIMG("ID_6A9CD3A31AFF47CE893B1E09139DA8C9",1)</v>
      </c>
      <c r="G190" s="6" t="s">
        <v>260</v>
      </c>
      <c r="H190" s="4" t="s">
        <v>482</v>
      </c>
      <c r="I190" s="4" t="s">
        <v>482</v>
      </c>
    </row>
    <row r="191" ht="148.5" customHeight="1" spans="1:9">
      <c r="A191" s="3">
        <v>190</v>
      </c>
      <c r="B191" s="4" t="s">
        <v>261</v>
      </c>
      <c r="C191" s="4" t="s">
        <v>11</v>
      </c>
      <c r="D191" s="4">
        <v>649.75</v>
      </c>
      <c r="E191" s="4" t="s">
        <v>789</v>
      </c>
      <c r="F191" s="5" t="str">
        <f>_xlfn.DISPIMG("ID_E7E7159766BE4CD0B88331F394618234",1)</f>
        <v>=DISPIMG("ID_E7E7159766BE4CD0B88331F394618234",1)</v>
      </c>
      <c r="G191" s="6" t="s">
        <v>262</v>
      </c>
      <c r="H191" s="4" t="s">
        <v>482</v>
      </c>
      <c r="I191" s="4" t="s">
        <v>482</v>
      </c>
    </row>
    <row r="192" ht="162" customHeight="1" spans="1:9">
      <c r="A192" s="3">
        <v>191</v>
      </c>
      <c r="B192" s="4" t="s">
        <v>586</v>
      </c>
      <c r="C192" s="4" t="s">
        <v>11</v>
      </c>
      <c r="D192" s="4">
        <v>750.2</v>
      </c>
      <c r="E192" s="4" t="s">
        <v>789</v>
      </c>
      <c r="F192" s="5" t="str">
        <f>_xlfn.DISPIMG("ID_B61A59122E2D4501B5A2C1D8A30EE321",1)</f>
        <v>=DISPIMG("ID_B61A59122E2D4501B5A2C1D8A30EE321",1)</v>
      </c>
      <c r="G192" s="6" t="s">
        <v>587</v>
      </c>
      <c r="H192" s="4" t="s">
        <v>482</v>
      </c>
      <c r="I192" s="4" t="s">
        <v>482</v>
      </c>
    </row>
    <row r="193" ht="148.5" customHeight="1" spans="1:9">
      <c r="A193" s="3">
        <v>192</v>
      </c>
      <c r="B193" s="4" t="s">
        <v>791</v>
      </c>
      <c r="C193" s="4" t="s">
        <v>11</v>
      </c>
      <c r="D193" s="4">
        <v>3625.8</v>
      </c>
      <c r="E193" s="4" t="s">
        <v>789</v>
      </c>
      <c r="F193" s="5" t="str">
        <f>_xlfn.DISPIMG("ID_EC95C4A3A6B3422F84817C37A3C70675",1)</f>
        <v>=DISPIMG("ID_EC95C4A3A6B3422F84817C37A3C70675",1)</v>
      </c>
      <c r="G193" s="6" t="s">
        <v>264</v>
      </c>
      <c r="H193" s="4" t="s">
        <v>482</v>
      </c>
      <c r="I193" s="4" t="s">
        <v>482</v>
      </c>
    </row>
    <row r="194" ht="148.5" customHeight="1" spans="1:9">
      <c r="A194" s="3">
        <v>193</v>
      </c>
      <c r="B194" s="4" t="s">
        <v>277</v>
      </c>
      <c r="C194" s="4" t="s">
        <v>11</v>
      </c>
      <c r="D194" s="4">
        <v>3208.7</v>
      </c>
      <c r="E194" s="4" t="s">
        <v>789</v>
      </c>
      <c r="F194" s="5" t="str">
        <f>_xlfn.DISPIMG("ID_C4CF49B06B7F41DC9B11E5F676FCF071",1)</f>
        <v>=DISPIMG("ID_C4CF49B06B7F41DC9B11E5F676FCF071",1)</v>
      </c>
      <c r="G194" s="6" t="s">
        <v>278</v>
      </c>
      <c r="H194" s="4" t="s">
        <v>482</v>
      </c>
      <c r="I194" s="4" t="s">
        <v>482</v>
      </c>
    </row>
    <row r="195" ht="148.5" customHeight="1" spans="1:9">
      <c r="A195" s="3">
        <v>194</v>
      </c>
      <c r="B195" s="4" t="s">
        <v>279</v>
      </c>
      <c r="C195" s="4" t="s">
        <v>11</v>
      </c>
      <c r="D195" s="4">
        <v>291.85</v>
      </c>
      <c r="E195" s="4" t="s">
        <v>789</v>
      </c>
      <c r="F195" s="5" t="str">
        <f>_xlfn.DISPIMG("ID_B758235157814CFFAA64C0AE4E1A2A30",1)</f>
        <v>=DISPIMG("ID_B758235157814CFFAA64C0AE4E1A2A30",1)</v>
      </c>
      <c r="G195" s="6" t="s">
        <v>280</v>
      </c>
      <c r="H195" s="4" t="s">
        <v>482</v>
      </c>
      <c r="I195" s="4" t="s">
        <v>482</v>
      </c>
    </row>
    <row r="196" ht="162" customHeight="1" spans="1:9">
      <c r="A196" s="3">
        <v>195</v>
      </c>
      <c r="B196" s="4" t="s">
        <v>283</v>
      </c>
      <c r="C196" s="4" t="s">
        <v>11</v>
      </c>
      <c r="D196" s="4">
        <v>16662.05</v>
      </c>
      <c r="E196" s="4" t="s">
        <v>789</v>
      </c>
      <c r="F196" s="5" t="str">
        <f>_xlfn.DISPIMG("ID_2EDEC0BA45274E95B2D552BD83A7CBFF",1)</f>
        <v>=DISPIMG("ID_2EDEC0BA45274E95B2D552BD83A7CBFF",1)</v>
      </c>
      <c r="G196" s="6" t="s">
        <v>284</v>
      </c>
      <c r="H196" s="4" t="s">
        <v>482</v>
      </c>
      <c r="I196" s="4" t="s">
        <v>482</v>
      </c>
    </row>
    <row r="197" ht="148.5" customHeight="1" spans="1:9">
      <c r="A197" s="3">
        <v>196</v>
      </c>
      <c r="B197" s="4" t="s">
        <v>583</v>
      </c>
      <c r="C197" s="4" t="s">
        <v>11</v>
      </c>
      <c r="D197" s="4">
        <v>1075.9</v>
      </c>
      <c r="E197" s="4" t="s">
        <v>789</v>
      </c>
      <c r="F197" s="5" t="str">
        <f>_xlfn.DISPIMG("ID_9A028FC15C3C4BB199A4B6233F5E55AD",1)</f>
        <v>=DISPIMG("ID_9A028FC15C3C4BB199A4B6233F5E55AD",1)</v>
      </c>
      <c r="G197" s="6" t="s">
        <v>584</v>
      </c>
      <c r="H197" s="4" t="s">
        <v>482</v>
      </c>
      <c r="I197" s="4" t="s">
        <v>482</v>
      </c>
    </row>
    <row r="198" ht="175.5" customHeight="1" spans="1:9">
      <c r="A198" s="3">
        <v>197</v>
      </c>
      <c r="B198" s="4" t="s">
        <v>569</v>
      </c>
      <c r="C198" s="4" t="s">
        <v>11</v>
      </c>
      <c r="D198" s="4">
        <v>4107.8</v>
      </c>
      <c r="E198" s="4" t="s">
        <v>789</v>
      </c>
      <c r="F198" s="5" t="str">
        <f>_xlfn.DISPIMG("ID_737BF641E9254B2FB5EB825014DC1D96",1)</f>
        <v>=DISPIMG("ID_737BF641E9254B2FB5EB825014DC1D96",1)</v>
      </c>
      <c r="G198" s="6" t="s">
        <v>570</v>
      </c>
      <c r="H198" s="4" t="s">
        <v>482</v>
      </c>
      <c r="I198" s="4" t="s">
        <v>482</v>
      </c>
    </row>
    <row r="199" ht="148.5" customHeight="1" spans="1:9">
      <c r="A199" s="3">
        <v>198</v>
      </c>
      <c r="B199" s="4" t="s">
        <v>792</v>
      </c>
      <c r="C199" s="4" t="s">
        <v>11</v>
      </c>
      <c r="D199" s="4">
        <v>24746.2</v>
      </c>
      <c r="E199" s="4" t="s">
        <v>789</v>
      </c>
      <c r="F199" s="5" t="str">
        <f>_xlfn.DISPIMG("ID_31AD6252F8CD4D21BD57D9E85E9CD3D8",1)</f>
        <v>=DISPIMG("ID_31AD6252F8CD4D21BD57D9E85E9CD3D8",1)</v>
      </c>
      <c r="G199" s="13" t="s">
        <v>793</v>
      </c>
      <c r="H199" s="4" t="s">
        <v>563</v>
      </c>
      <c r="I199" s="4" t="s">
        <v>482</v>
      </c>
    </row>
    <row r="200" ht="148.5" customHeight="1" spans="1:9">
      <c r="A200" s="3">
        <v>199</v>
      </c>
      <c r="B200" s="4" t="s">
        <v>311</v>
      </c>
      <c r="C200" s="4" t="s">
        <v>11</v>
      </c>
      <c r="D200" s="4">
        <v>1165.75</v>
      </c>
      <c r="E200" s="4" t="s">
        <v>789</v>
      </c>
      <c r="F200" s="5" t="str">
        <f>_xlfn.DISPIMG("ID_51DBFC5273DA45488B1B048330A528D7",1)</f>
        <v>=DISPIMG("ID_51DBFC5273DA45488B1B048330A528D7",1)</v>
      </c>
      <c r="G200" s="6" t="s">
        <v>312</v>
      </c>
      <c r="H200" s="4" t="s">
        <v>482</v>
      </c>
      <c r="I200" s="4" t="s">
        <v>482</v>
      </c>
    </row>
    <row r="201" ht="146.55" spans="1:9">
      <c r="A201" s="3">
        <v>200</v>
      </c>
      <c r="B201" s="4" t="s">
        <v>441</v>
      </c>
      <c r="C201" s="4" t="s">
        <v>160</v>
      </c>
      <c r="D201" s="4">
        <v>356</v>
      </c>
      <c r="E201" s="4" t="s">
        <v>789</v>
      </c>
      <c r="F201" s="5" t="str">
        <f>_xlfn.DISPIMG("ID_70C3D0E8D8494F389D51F297A11AF389",1)</f>
        <v>=DISPIMG("ID_70C3D0E8D8494F389D51F297A11AF389",1)</v>
      </c>
      <c r="G201" s="6" t="s">
        <v>442</v>
      </c>
      <c r="H201" s="4" t="s">
        <v>794</v>
      </c>
      <c r="I201" s="4" t="s">
        <v>482</v>
      </c>
    </row>
    <row r="202" ht="202.5" customHeight="1" spans="1:9">
      <c r="A202" s="3">
        <v>201</v>
      </c>
      <c r="B202" s="4" t="s">
        <v>593</v>
      </c>
      <c r="C202" s="4" t="s">
        <v>11</v>
      </c>
      <c r="D202" s="4">
        <v>286.9</v>
      </c>
      <c r="E202" s="4" t="s">
        <v>789</v>
      </c>
      <c r="F202" s="5" t="str">
        <f>_xlfn.DISPIMG("ID_D5514AC56AD44FE89EEA92D64548FFF0",1)</f>
        <v>=DISPIMG("ID_D5514AC56AD44FE89EEA92D64548FFF0",1)</v>
      </c>
      <c r="G202" s="6" t="s">
        <v>594</v>
      </c>
      <c r="H202" s="4" t="s">
        <v>482</v>
      </c>
      <c r="I202" s="4" t="s">
        <v>482</v>
      </c>
    </row>
    <row r="203" ht="162" customHeight="1" spans="1:9">
      <c r="A203" s="3">
        <v>202</v>
      </c>
      <c r="B203" s="4" t="s">
        <v>320</v>
      </c>
      <c r="C203" s="4" t="s">
        <v>11</v>
      </c>
      <c r="D203" s="4">
        <v>988.05</v>
      </c>
      <c r="E203" s="4" t="s">
        <v>789</v>
      </c>
      <c r="F203" s="5" t="str">
        <f>_xlfn.DISPIMG("ID_CE34999C56ED4CEE8CC1D506F2AD5054",1)</f>
        <v>=DISPIMG("ID_CE34999C56ED4CEE8CC1D506F2AD5054",1)</v>
      </c>
      <c r="G203" s="6" t="s">
        <v>321</v>
      </c>
      <c r="H203" s="4" t="s">
        <v>482</v>
      </c>
      <c r="I203" s="4" t="s">
        <v>482</v>
      </c>
    </row>
    <row r="204" ht="162" customHeight="1" spans="1:9">
      <c r="A204" s="3">
        <v>203</v>
      </c>
      <c r="B204" s="4" t="s">
        <v>323</v>
      </c>
      <c r="C204" s="4" t="s">
        <v>11</v>
      </c>
      <c r="D204" s="4">
        <v>8999.75</v>
      </c>
      <c r="E204" s="4" t="s">
        <v>789</v>
      </c>
      <c r="F204" s="5" t="str">
        <f>_xlfn.DISPIMG("ID_DD030BA8EEDD40E397F855AE4E76728E",1)</f>
        <v>=DISPIMG("ID_DD030BA8EEDD40E397F855AE4E76728E",1)</v>
      </c>
      <c r="G204" s="6" t="s">
        <v>324</v>
      </c>
      <c r="H204" s="4" t="s">
        <v>482</v>
      </c>
      <c r="I204" s="4" t="s">
        <v>482</v>
      </c>
    </row>
    <row r="205" ht="148.5" customHeight="1" spans="1:9">
      <c r="A205" s="3">
        <v>204</v>
      </c>
      <c r="B205" s="4" t="s">
        <v>325</v>
      </c>
      <c r="C205" s="4" t="s">
        <v>11</v>
      </c>
      <c r="D205" s="4">
        <v>57</v>
      </c>
      <c r="E205" s="4" t="s">
        <v>789</v>
      </c>
      <c r="F205" s="5" t="str">
        <f>_xlfn.DISPIMG("ID_1A5751D307384B9985EE847798B9765B",1)</f>
        <v>=DISPIMG("ID_1A5751D307384B9985EE847798B9765B",1)</v>
      </c>
      <c r="G205" s="6" t="s">
        <v>191</v>
      </c>
      <c r="H205" s="4" t="s">
        <v>482</v>
      </c>
      <c r="I205" s="4" t="s">
        <v>482</v>
      </c>
    </row>
    <row r="206" ht="162" customHeight="1" spans="1:9">
      <c r="A206" s="3">
        <v>205</v>
      </c>
      <c r="B206" s="4" t="s">
        <v>330</v>
      </c>
      <c r="C206" s="4" t="s">
        <v>11</v>
      </c>
      <c r="D206" s="4">
        <v>2343.9</v>
      </c>
      <c r="E206" s="4" t="s">
        <v>789</v>
      </c>
      <c r="F206" s="5" t="str">
        <f>_xlfn.DISPIMG("ID_D32565481B924474AB6A7C65B15042A5",1)</f>
        <v>=DISPIMG("ID_D32565481B924474AB6A7C65B15042A5",1)</v>
      </c>
      <c r="G206" s="6" t="s">
        <v>331</v>
      </c>
      <c r="H206" s="4" t="s">
        <v>482</v>
      </c>
      <c r="I206" s="4" t="s">
        <v>482</v>
      </c>
    </row>
    <row r="207" ht="128.25" spans="1:9">
      <c r="A207" s="3">
        <v>206</v>
      </c>
      <c r="B207" s="4" t="s">
        <v>332</v>
      </c>
      <c r="C207" s="4" t="s">
        <v>11</v>
      </c>
      <c r="D207" s="4">
        <v>50</v>
      </c>
      <c r="E207" s="4" t="s">
        <v>789</v>
      </c>
      <c r="F207" s="5" t="str">
        <f>_xlfn.DISPIMG("ID_CEF042EC27524F628D552EA0762AC771",1)</f>
        <v>=DISPIMG("ID_CEF042EC27524F628D552EA0762AC771",1)</v>
      </c>
      <c r="G207" s="6" t="s">
        <v>333</v>
      </c>
      <c r="H207" s="4" t="s">
        <v>482</v>
      </c>
      <c r="I207" s="4" t="s">
        <v>482</v>
      </c>
    </row>
    <row r="208" ht="148.5" customHeight="1" spans="1:9">
      <c r="A208" s="3">
        <v>207</v>
      </c>
      <c r="B208" s="4" t="s">
        <v>335</v>
      </c>
      <c r="C208" s="4" t="s">
        <v>11</v>
      </c>
      <c r="D208" s="4">
        <v>10062</v>
      </c>
      <c r="E208" s="4" t="s">
        <v>789</v>
      </c>
      <c r="F208" s="5" t="str">
        <f>_xlfn.DISPIMG("ID_DD6515D4FCC846718FBBC92CFD9EE091",1)</f>
        <v>=DISPIMG("ID_DD6515D4FCC846718FBBC92CFD9EE091",1)</v>
      </c>
      <c r="G208" s="6" t="s">
        <v>336</v>
      </c>
      <c r="H208" s="4" t="s">
        <v>482</v>
      </c>
      <c r="I208" s="4" t="s">
        <v>482</v>
      </c>
    </row>
    <row r="209" ht="148.5" customHeight="1" spans="1:9">
      <c r="A209" s="3">
        <v>208</v>
      </c>
      <c r="B209" s="4" t="s">
        <v>795</v>
      </c>
      <c r="C209" s="4" t="s">
        <v>11</v>
      </c>
      <c r="D209" s="4">
        <v>1691.15</v>
      </c>
      <c r="E209" s="4" t="s">
        <v>789</v>
      </c>
      <c r="F209" s="5" t="str">
        <f>_xlfn.DISPIMG("ID_50B3680095D8400CAF15774FA719975D",1)</f>
        <v>=DISPIMG("ID_50B3680095D8400CAF15774FA719975D",1)</v>
      </c>
      <c r="G209" s="6" t="s">
        <v>576</v>
      </c>
      <c r="H209" s="4" t="s">
        <v>482</v>
      </c>
      <c r="I209" s="4" t="s">
        <v>482</v>
      </c>
    </row>
    <row r="210" ht="162" customHeight="1" spans="1:9">
      <c r="A210" s="3">
        <v>209</v>
      </c>
      <c r="B210" s="4" t="s">
        <v>337</v>
      </c>
      <c r="C210" s="4" t="s">
        <v>11</v>
      </c>
      <c r="D210" s="4">
        <v>611.7</v>
      </c>
      <c r="E210" s="4" t="s">
        <v>789</v>
      </c>
      <c r="F210" s="5" t="str">
        <f>_xlfn.DISPIMG("ID_45E9489DF0B1447491C0C0ACBB378EA5",1)</f>
        <v>=DISPIMG("ID_45E9489DF0B1447491C0C0ACBB378EA5",1)</v>
      </c>
      <c r="G210" s="6" t="s">
        <v>338</v>
      </c>
      <c r="H210" s="4" t="s">
        <v>482</v>
      </c>
      <c r="I210" s="4" t="s">
        <v>482</v>
      </c>
    </row>
    <row r="211" ht="162" customHeight="1" spans="1:9">
      <c r="A211" s="3">
        <v>210</v>
      </c>
      <c r="B211" s="4" t="s">
        <v>339</v>
      </c>
      <c r="C211" s="4" t="s">
        <v>11</v>
      </c>
      <c r="D211" s="4">
        <v>1.85</v>
      </c>
      <c r="E211" s="4" t="s">
        <v>789</v>
      </c>
      <c r="F211" s="5" t="str">
        <f>_xlfn.DISPIMG("ID_3321713A67A0446EB5ED95926F10BE3C",1)</f>
        <v>=DISPIMG("ID_3321713A67A0446EB5ED95926F10BE3C",1)</v>
      </c>
      <c r="G211" s="6" t="s">
        <v>340</v>
      </c>
      <c r="H211" s="4" t="s">
        <v>482</v>
      </c>
      <c r="I211" s="4" t="s">
        <v>482</v>
      </c>
    </row>
    <row r="212" ht="243" customHeight="1" spans="1:9">
      <c r="A212" s="3">
        <v>211</v>
      </c>
      <c r="B212" s="4" t="s">
        <v>629</v>
      </c>
      <c r="C212" s="4" t="s">
        <v>11</v>
      </c>
      <c r="D212" s="4">
        <v>7</v>
      </c>
      <c r="E212" s="4" t="s">
        <v>789</v>
      </c>
      <c r="F212" s="5" t="str">
        <f>_xlfn.DISPIMG("ID_045BF7A17B774241B22951969CB08D64",1)</f>
        <v>=DISPIMG("ID_045BF7A17B774241B22951969CB08D64",1)</v>
      </c>
      <c r="G212" s="6" t="s">
        <v>630</v>
      </c>
      <c r="H212" s="4" t="s">
        <v>631</v>
      </c>
      <c r="I212" s="4" t="s">
        <v>482</v>
      </c>
    </row>
    <row r="213" ht="148.5" customHeight="1" spans="1:9">
      <c r="A213" s="3">
        <v>212</v>
      </c>
      <c r="B213" s="4" t="s">
        <v>796</v>
      </c>
      <c r="C213" s="7" t="s">
        <v>11</v>
      </c>
      <c r="D213" s="4">
        <v>50</v>
      </c>
      <c r="E213" s="4" t="s">
        <v>789</v>
      </c>
      <c r="F213" s="5" t="str">
        <f>_xlfn.DISPIMG("ID_1AA57BC394E84254BFABAFC8E8E9DE9E",1)</f>
        <v>=DISPIMG("ID_1AA57BC394E84254BFABAFC8E8E9DE9E",1)</v>
      </c>
      <c r="G213" s="6" t="s">
        <v>797</v>
      </c>
      <c r="H213" s="7" t="s">
        <v>482</v>
      </c>
      <c r="I213" s="7" t="s">
        <v>482</v>
      </c>
    </row>
    <row r="214" ht="108" customHeight="1" spans="1:9">
      <c r="A214" s="3">
        <v>213</v>
      </c>
      <c r="B214" s="4" t="s">
        <v>798</v>
      </c>
      <c r="C214" s="7" t="s">
        <v>11</v>
      </c>
      <c r="D214" s="4">
        <v>50</v>
      </c>
      <c r="E214" s="4" t="s">
        <v>789</v>
      </c>
      <c r="F214" s="5" t="str">
        <f>_xlfn.DISPIMG("ID_7F8BCBDCB6FD43FF8DD160BDD2B976E4",1)</f>
        <v>=DISPIMG("ID_7F8BCBDCB6FD43FF8DD160BDD2B976E4",1)</v>
      </c>
      <c r="G214" s="6" t="s">
        <v>799</v>
      </c>
      <c r="H214" s="7" t="s">
        <v>482</v>
      </c>
      <c r="I214" s="7" t="s">
        <v>482</v>
      </c>
    </row>
    <row r="215" ht="135" customHeight="1" spans="1:9">
      <c r="A215" s="3">
        <v>214</v>
      </c>
      <c r="B215" s="4" t="s">
        <v>800</v>
      </c>
      <c r="C215" s="7" t="s">
        <v>11</v>
      </c>
      <c r="D215" s="4">
        <v>50</v>
      </c>
      <c r="E215" s="4" t="s">
        <v>789</v>
      </c>
      <c r="F215" s="5" t="str">
        <f>_xlfn.DISPIMG("ID_D6E7B4EB743C489DA4DFB8432AA97014",1)</f>
        <v>=DISPIMG("ID_D6E7B4EB743C489DA4DFB8432AA97014",1)</v>
      </c>
      <c r="G215" s="6" t="s">
        <v>801</v>
      </c>
      <c r="H215" s="7" t="s">
        <v>482</v>
      </c>
      <c r="I215" s="7" t="s">
        <v>482</v>
      </c>
    </row>
    <row r="216" ht="283.5" customHeight="1" spans="1:9">
      <c r="A216" s="3">
        <v>215</v>
      </c>
      <c r="B216" s="4" t="s">
        <v>802</v>
      </c>
      <c r="C216" s="7" t="s">
        <v>11</v>
      </c>
      <c r="D216" s="4">
        <v>100</v>
      </c>
      <c r="E216" s="4" t="s">
        <v>789</v>
      </c>
      <c r="F216" s="5" t="str">
        <f>_xlfn.DISPIMG("ID_A9E2F81505184CE6A3004BA1D5182B74",1)</f>
        <v>=DISPIMG("ID_A9E2F81505184CE6A3004BA1D5182B74",1)</v>
      </c>
      <c r="G216" s="6" t="s">
        <v>803</v>
      </c>
      <c r="H216" s="7" t="s">
        <v>482</v>
      </c>
      <c r="I216" s="7" t="s">
        <v>482</v>
      </c>
    </row>
    <row r="217" ht="148.5" customHeight="1" spans="1:9">
      <c r="A217" s="3">
        <v>216</v>
      </c>
      <c r="B217" s="4" t="s">
        <v>804</v>
      </c>
      <c r="C217" s="7" t="s">
        <v>11</v>
      </c>
      <c r="D217" s="4">
        <v>50</v>
      </c>
      <c r="E217" s="4" t="s">
        <v>789</v>
      </c>
      <c r="F217" s="5" t="str">
        <f>_xlfn.DISPIMG("ID_DF25E430D27346BBAF3AA2E699B9393C",1)</f>
        <v>=DISPIMG("ID_DF25E430D27346BBAF3AA2E699B9393C",1)</v>
      </c>
      <c r="G217" s="6" t="s">
        <v>805</v>
      </c>
      <c r="H217" s="7" t="s">
        <v>482</v>
      </c>
      <c r="I217" s="7" t="s">
        <v>482</v>
      </c>
    </row>
    <row r="218" ht="135" customHeight="1" spans="1:9">
      <c r="A218" s="3">
        <v>217</v>
      </c>
      <c r="B218" s="4" t="s">
        <v>806</v>
      </c>
      <c r="C218" s="7" t="s">
        <v>11</v>
      </c>
      <c r="D218" s="4">
        <v>50</v>
      </c>
      <c r="E218" s="4" t="s">
        <v>789</v>
      </c>
      <c r="F218" s="5" t="str">
        <f>_xlfn.DISPIMG("ID_69BE7E955140401C96EA1257A8129885",1)</f>
        <v>=DISPIMG("ID_69BE7E955140401C96EA1257A8129885",1)</v>
      </c>
      <c r="G218" s="6" t="s">
        <v>807</v>
      </c>
      <c r="H218" s="7" t="s">
        <v>482</v>
      </c>
      <c r="I218" s="7" t="s">
        <v>482</v>
      </c>
    </row>
    <row r="219" ht="148.5" customHeight="1" spans="1:9">
      <c r="A219" s="3">
        <v>218</v>
      </c>
      <c r="B219" s="4" t="s">
        <v>577</v>
      </c>
      <c r="C219" s="4" t="s">
        <v>11</v>
      </c>
      <c r="D219" s="4">
        <v>1380.5</v>
      </c>
      <c r="E219" s="4" t="s">
        <v>789</v>
      </c>
      <c r="F219" s="5" t="str">
        <f>_xlfn.DISPIMG("ID_097AAFBE3CF84284B9B962BAAEA37B74",1)</f>
        <v>=DISPIMG("ID_097AAFBE3CF84284B9B962BAAEA37B74",1)</v>
      </c>
      <c r="G219" s="6" t="s">
        <v>578</v>
      </c>
      <c r="H219" s="4" t="s">
        <v>482</v>
      </c>
      <c r="I219" s="4" t="s">
        <v>482</v>
      </c>
    </row>
    <row r="220" ht="162" customHeight="1" spans="1:9">
      <c r="A220" s="3">
        <v>219</v>
      </c>
      <c r="B220" s="4" t="s">
        <v>378</v>
      </c>
      <c r="C220" s="4" t="s">
        <v>11</v>
      </c>
      <c r="D220" s="4">
        <v>1067.05</v>
      </c>
      <c r="E220" s="4" t="s">
        <v>789</v>
      </c>
      <c r="F220" s="5" t="str">
        <f>_xlfn.DISPIMG("ID_D3D28CB2EDA3472B9669B40E677DEB78",1)</f>
        <v>=DISPIMG("ID_D3D28CB2EDA3472B9669B40E677DEB78",1)</v>
      </c>
      <c r="G220" s="6" t="s">
        <v>379</v>
      </c>
      <c r="H220" s="4" t="s">
        <v>482</v>
      </c>
      <c r="I220" s="4" t="s">
        <v>482</v>
      </c>
    </row>
    <row r="221" ht="162" customHeight="1" spans="1:9">
      <c r="A221" s="3">
        <v>220</v>
      </c>
      <c r="B221" s="4" t="s">
        <v>198</v>
      </c>
      <c r="C221" s="4" t="s">
        <v>11</v>
      </c>
      <c r="D221" s="4">
        <v>723.4</v>
      </c>
      <c r="E221" s="4" t="s">
        <v>808</v>
      </c>
      <c r="F221" s="5" t="str">
        <f>_xlfn.DISPIMG("ID_16F538342C4B4AE2A217D8AE9D95F55C",1)</f>
        <v>=DISPIMG("ID_16F538342C4B4AE2A217D8AE9D95F55C",1)</v>
      </c>
      <c r="G221" s="6" t="s">
        <v>199</v>
      </c>
      <c r="H221" s="4" t="s">
        <v>482</v>
      </c>
      <c r="I221" s="4" t="s">
        <v>482</v>
      </c>
    </row>
    <row r="222" ht="135" customHeight="1" spans="1:9">
      <c r="A222" s="3">
        <v>221</v>
      </c>
      <c r="B222" s="4" t="s">
        <v>241</v>
      </c>
      <c r="C222" s="4" t="s">
        <v>11</v>
      </c>
      <c r="D222" s="4">
        <v>100</v>
      </c>
      <c r="E222" s="4" t="s">
        <v>808</v>
      </c>
      <c r="F222" s="5" t="str">
        <f>_xlfn.DISPIMG("ID_6A9BEAF75E484ACD90FA2D9AB06FDA2D",1)</f>
        <v>=DISPIMG("ID_6A9BEAF75E484ACD90FA2D9AB06FDA2D",1)</v>
      </c>
      <c r="G222" s="6" t="s">
        <v>242</v>
      </c>
      <c r="H222" s="4" t="s">
        <v>482</v>
      </c>
      <c r="I222" s="4" t="s">
        <v>482</v>
      </c>
    </row>
    <row r="223" ht="153" customHeight="1" spans="1:9">
      <c r="A223" s="3">
        <v>222</v>
      </c>
      <c r="B223" s="4" t="s">
        <v>251</v>
      </c>
      <c r="C223" s="4" t="s">
        <v>11</v>
      </c>
      <c r="D223" s="4">
        <v>6074.1</v>
      </c>
      <c r="E223" s="4" t="s">
        <v>808</v>
      </c>
      <c r="F223" s="5" t="str">
        <f>_xlfn.DISPIMG("ID_842E9C18E1764BB1898DA00D6B1AF428",1)</f>
        <v>=DISPIMG("ID_842E9C18E1764BB1898DA00D6B1AF428",1)</v>
      </c>
      <c r="G223" s="6" t="s">
        <v>252</v>
      </c>
      <c r="H223" s="4" t="s">
        <v>482</v>
      </c>
      <c r="I223" s="4" t="s">
        <v>482</v>
      </c>
    </row>
    <row r="224" ht="148.5" customHeight="1" spans="1:9">
      <c r="A224" s="3">
        <v>223</v>
      </c>
      <c r="B224" s="4" t="s">
        <v>581</v>
      </c>
      <c r="C224" s="4" t="s">
        <v>11</v>
      </c>
      <c r="D224" s="4">
        <v>1</v>
      </c>
      <c r="E224" s="4" t="s">
        <v>808</v>
      </c>
      <c r="F224" s="5" t="str">
        <f>_xlfn.DISPIMG("ID_AE713527F44745CC873C7A39AFF14D2D",1)</f>
        <v>=DISPIMG("ID_AE713527F44745CC873C7A39AFF14D2D",1)</v>
      </c>
      <c r="G224" s="6" t="s">
        <v>303</v>
      </c>
      <c r="H224" s="4" t="s">
        <v>582</v>
      </c>
      <c r="I224" s="4" t="s">
        <v>482</v>
      </c>
    </row>
    <row r="225" ht="148.5" customHeight="1" spans="1:9">
      <c r="A225" s="3">
        <v>224</v>
      </c>
      <c r="B225" s="4" t="s">
        <v>615</v>
      </c>
      <c r="C225" s="4" t="s">
        <v>30</v>
      </c>
      <c r="D225" s="4">
        <v>16</v>
      </c>
      <c r="E225" s="4" t="s">
        <v>808</v>
      </c>
      <c r="F225" s="5" t="str">
        <f>_xlfn.DISPIMG("ID_171C6C9502D646CF8F0E47988AD6C53D",1)</f>
        <v>=DISPIMG("ID_171C6C9502D646CF8F0E47988AD6C53D",1)</v>
      </c>
      <c r="G225" s="6" t="s">
        <v>616</v>
      </c>
      <c r="H225" s="4" t="s">
        <v>482</v>
      </c>
      <c r="I225" s="4" t="s">
        <v>482</v>
      </c>
    </row>
    <row r="226" ht="148.5" customHeight="1" spans="1:9">
      <c r="A226" s="3">
        <v>225</v>
      </c>
      <c r="B226" s="4" t="s">
        <v>298</v>
      </c>
      <c r="C226" s="4" t="s">
        <v>11</v>
      </c>
      <c r="D226" s="4">
        <v>60.35</v>
      </c>
      <c r="E226" s="4" t="s">
        <v>808</v>
      </c>
      <c r="F226" s="5" t="str">
        <f>_xlfn.DISPIMG("ID_954A7B2D9D4D4B6C94B762200EDE38E7",1)</f>
        <v>=DISPIMG("ID_954A7B2D9D4D4B6C94B762200EDE38E7",1)</v>
      </c>
      <c r="G226" s="6" t="s">
        <v>299</v>
      </c>
      <c r="H226" s="4" t="s">
        <v>482</v>
      </c>
      <c r="I226" s="4" t="s">
        <v>482</v>
      </c>
    </row>
    <row r="227" ht="162" customHeight="1" spans="1:9">
      <c r="A227" s="3">
        <v>226</v>
      </c>
      <c r="B227" s="4" t="s">
        <v>302</v>
      </c>
      <c r="C227" s="4" t="s">
        <v>11</v>
      </c>
      <c r="D227" s="4">
        <v>1170.9</v>
      </c>
      <c r="E227" s="4" t="s">
        <v>808</v>
      </c>
      <c r="F227" s="5" t="str">
        <f>_xlfn.DISPIMG("ID_592633CA7BA64A798A70AB67743E19D5",1)</f>
        <v>=DISPIMG("ID_592633CA7BA64A798A70AB67743E19D5",1)</v>
      </c>
      <c r="G227" s="6" t="s">
        <v>303</v>
      </c>
      <c r="H227" s="4" t="s">
        <v>482</v>
      </c>
      <c r="I227" s="4" t="s">
        <v>482</v>
      </c>
    </row>
    <row r="228" ht="148.5" customHeight="1" spans="1:9">
      <c r="A228" s="3">
        <v>227</v>
      </c>
      <c r="B228" s="7" t="s">
        <v>115</v>
      </c>
      <c r="C228" s="7" t="s">
        <v>116</v>
      </c>
      <c r="D228" s="7">
        <v>300</v>
      </c>
      <c r="E228" s="4" t="s">
        <v>808</v>
      </c>
      <c r="F228" s="8" t="str">
        <f>_xlfn.DISPIMG("ID_F07BACC99A114741BD11484B2F2C8C94",1)</f>
        <v>=DISPIMG("ID_F07BACC99A114741BD11484B2F2C8C94",1)</v>
      </c>
      <c r="G228" s="9" t="s">
        <v>117</v>
      </c>
      <c r="H228" s="4" t="s">
        <v>809</v>
      </c>
      <c r="I228" s="7" t="s">
        <v>482</v>
      </c>
    </row>
    <row r="229" ht="229.5" customHeight="1" spans="1:9">
      <c r="A229" s="3">
        <v>228</v>
      </c>
      <c r="B229" s="4" t="s">
        <v>145</v>
      </c>
      <c r="C229" s="4" t="s">
        <v>11</v>
      </c>
      <c r="D229" s="4">
        <v>554.15</v>
      </c>
      <c r="E229" s="4" t="s">
        <v>810</v>
      </c>
      <c r="F229" s="5" t="str">
        <f>_xlfn.DISPIMG("ID_9538D744360B48D2A59FC5F577F8AFBA",1)</f>
        <v>=DISPIMG("ID_9538D744360B48D2A59FC5F577F8AFBA",1)</v>
      </c>
      <c r="G229" s="6" t="s">
        <v>146</v>
      </c>
      <c r="H229" s="4" t="s">
        <v>482</v>
      </c>
      <c r="I229" s="4" t="s">
        <v>482</v>
      </c>
    </row>
    <row r="230" ht="216" customHeight="1" spans="1:9">
      <c r="A230" s="3">
        <v>229</v>
      </c>
      <c r="B230" s="4" t="s">
        <v>166</v>
      </c>
      <c r="C230" s="4" t="s">
        <v>11</v>
      </c>
      <c r="D230" s="4">
        <v>98.4</v>
      </c>
      <c r="E230" s="4" t="s">
        <v>810</v>
      </c>
      <c r="F230" s="5" t="str">
        <f>_xlfn.DISPIMG("ID_9FBADDD6E24147498DECA59EA2EDF8A4",1)</f>
        <v>=DISPIMG("ID_9FBADDD6E24147498DECA59EA2EDF8A4",1)</v>
      </c>
      <c r="G230" s="6" t="s">
        <v>167</v>
      </c>
      <c r="H230" s="4" t="s">
        <v>482</v>
      </c>
      <c r="I230" s="4" t="s">
        <v>168</v>
      </c>
    </row>
    <row r="231" ht="112.8" spans="1:9">
      <c r="A231" s="3">
        <v>230</v>
      </c>
      <c r="B231" s="4" t="s">
        <v>169</v>
      </c>
      <c r="C231" s="4" t="s">
        <v>11</v>
      </c>
      <c r="D231" s="4">
        <v>66.35</v>
      </c>
      <c r="E231" s="4" t="s">
        <v>810</v>
      </c>
      <c r="F231" s="5" t="str">
        <f>_xlfn.DISPIMG("ID_0854EA5627234BD3A34D7E720AB206A9",1)</f>
        <v>=DISPIMG("ID_0854EA5627234BD3A34D7E720AB206A9",1)</v>
      </c>
      <c r="G231" s="6" t="s">
        <v>170</v>
      </c>
      <c r="H231" s="4" t="s">
        <v>485</v>
      </c>
      <c r="I231" s="4" t="s">
        <v>171</v>
      </c>
    </row>
    <row r="232" ht="148.5" customHeight="1" spans="1:9">
      <c r="A232" s="3">
        <v>231</v>
      </c>
      <c r="B232" s="4" t="s">
        <v>811</v>
      </c>
      <c r="C232" s="4" t="s">
        <v>11</v>
      </c>
      <c r="D232" s="4">
        <v>20</v>
      </c>
      <c r="E232" s="4" t="s">
        <v>810</v>
      </c>
      <c r="F232" s="11" t="str">
        <f>_xlfn.DISPIMG("ID_334CA0EB80F6488CA936037DC1487A78",1)</f>
        <v>=DISPIMG("ID_334CA0EB80F6488CA936037DC1487A78",1)</v>
      </c>
      <c r="G232" s="6" t="s">
        <v>293</v>
      </c>
      <c r="H232" s="4" t="s">
        <v>482</v>
      </c>
      <c r="I232" s="4" t="s">
        <v>482</v>
      </c>
    </row>
    <row r="233" ht="175.5" customHeight="1" spans="1:9">
      <c r="A233" s="3">
        <v>232</v>
      </c>
      <c r="B233" s="4" t="s">
        <v>202</v>
      </c>
      <c r="C233" s="4" t="s">
        <v>11</v>
      </c>
      <c r="D233" s="4">
        <v>5670.45</v>
      </c>
      <c r="E233" s="4" t="s">
        <v>810</v>
      </c>
      <c r="F233" s="5" t="str">
        <f>_xlfn.DISPIMG("ID_AE3F508FFB224BD894A3C3BF70F333F1",1)</f>
        <v>=DISPIMG("ID_AE3F508FFB224BD894A3C3BF70F333F1",1)</v>
      </c>
      <c r="G233" s="6" t="s">
        <v>203</v>
      </c>
      <c r="H233" s="4" t="s">
        <v>482</v>
      </c>
      <c r="I233" s="4" t="s">
        <v>482</v>
      </c>
    </row>
    <row r="234" ht="148.5" customHeight="1" spans="1:9">
      <c r="A234" s="3">
        <v>233</v>
      </c>
      <c r="B234" s="4" t="s">
        <v>228</v>
      </c>
      <c r="C234" s="4" t="s">
        <v>11</v>
      </c>
      <c r="D234" s="4">
        <v>398</v>
      </c>
      <c r="E234" s="4" t="s">
        <v>810</v>
      </c>
      <c r="F234" s="5" t="str">
        <f>_xlfn.DISPIMG("ID_013B5CA1B85D4BF0AD38E7B9AF2D3F92",1)</f>
        <v>=DISPIMG("ID_013B5CA1B85D4BF0AD38E7B9AF2D3F92",1)</v>
      </c>
      <c r="G234" s="6" t="s">
        <v>229</v>
      </c>
      <c r="H234" s="4" t="s">
        <v>482</v>
      </c>
      <c r="I234" s="4" t="s">
        <v>482</v>
      </c>
    </row>
    <row r="235" ht="148.5" customHeight="1" spans="1:9">
      <c r="A235" s="3">
        <v>234</v>
      </c>
      <c r="B235" s="4" t="s">
        <v>237</v>
      </c>
      <c r="C235" s="4" t="s">
        <v>11</v>
      </c>
      <c r="D235" s="4">
        <v>21</v>
      </c>
      <c r="E235" s="4" t="s">
        <v>810</v>
      </c>
      <c r="F235" s="5" t="str">
        <f>_xlfn.DISPIMG("ID_CCC9E3A88FFE40248762B0D626FE65ED",1)</f>
        <v>=DISPIMG("ID_CCC9E3A88FFE40248762B0D626FE65ED",1)</v>
      </c>
      <c r="G235" s="6" t="s">
        <v>238</v>
      </c>
      <c r="H235" s="4" t="s">
        <v>482</v>
      </c>
      <c r="I235" s="4" t="s">
        <v>482</v>
      </c>
    </row>
    <row r="236" ht="216" customHeight="1" spans="1:9">
      <c r="A236" s="3">
        <v>235</v>
      </c>
      <c r="B236" s="4" t="s">
        <v>245</v>
      </c>
      <c r="C236" s="4" t="s">
        <v>11</v>
      </c>
      <c r="D236" s="4">
        <v>903.1</v>
      </c>
      <c r="E236" s="4" t="s">
        <v>810</v>
      </c>
      <c r="F236" s="5" t="str">
        <f>_xlfn.DISPIMG("ID_00E5274A23214FE29D91D67BF910215C",1)</f>
        <v>=DISPIMG("ID_00E5274A23214FE29D91D67BF910215C",1)</v>
      </c>
      <c r="G236" s="6" t="s">
        <v>246</v>
      </c>
      <c r="H236" s="4" t="s">
        <v>482</v>
      </c>
      <c r="I236" s="4" t="s">
        <v>482</v>
      </c>
    </row>
    <row r="237" ht="148.5" customHeight="1" spans="1:9">
      <c r="A237" s="3">
        <v>236</v>
      </c>
      <c r="B237" s="4" t="s">
        <v>271</v>
      </c>
      <c r="C237" s="4" t="s">
        <v>11</v>
      </c>
      <c r="D237" s="4">
        <v>100</v>
      </c>
      <c r="E237" s="4" t="s">
        <v>810</v>
      </c>
      <c r="F237" s="5" t="str">
        <f>_xlfn.DISPIMG("ID_FFF81D7F86954B75AF4654FA9CAC2A7C",1)</f>
        <v>=DISPIMG("ID_FFF81D7F86954B75AF4654FA9CAC2A7C",1)</v>
      </c>
      <c r="G237" s="6" t="s">
        <v>272</v>
      </c>
      <c r="H237" s="4" t="s">
        <v>482</v>
      </c>
      <c r="I237" s="4" t="s">
        <v>482</v>
      </c>
    </row>
    <row r="238" ht="202.5" customHeight="1" spans="1:9">
      <c r="A238" s="3">
        <v>237</v>
      </c>
      <c r="B238" s="4" t="s">
        <v>288</v>
      </c>
      <c r="C238" s="4" t="s">
        <v>11</v>
      </c>
      <c r="D238" s="4">
        <v>26.75</v>
      </c>
      <c r="E238" s="4" t="s">
        <v>810</v>
      </c>
      <c r="F238" s="5" t="str">
        <f>_xlfn.DISPIMG("ID_FCBD4AB0C7AF46F5895E295CBF3B7DA4",1)</f>
        <v>=DISPIMG("ID_FCBD4AB0C7AF46F5895E295CBF3B7DA4",1)</v>
      </c>
      <c r="G238" s="6" t="s">
        <v>289</v>
      </c>
      <c r="H238" s="4" t="s">
        <v>482</v>
      </c>
      <c r="I238" s="4" t="s">
        <v>482</v>
      </c>
    </row>
    <row r="239" ht="216" customHeight="1" spans="1:9">
      <c r="A239" s="3">
        <v>238</v>
      </c>
      <c r="B239" s="4" t="s">
        <v>812</v>
      </c>
      <c r="C239" s="4" t="s">
        <v>11</v>
      </c>
      <c r="D239" s="4">
        <v>14745.5</v>
      </c>
      <c r="E239" s="4" t="s">
        <v>810</v>
      </c>
      <c r="F239" s="5" t="str">
        <f>_xlfn.DISPIMG("ID_8AEE2505594E4DE28F5A6C86FA142631",1)</f>
        <v>=DISPIMG("ID_8AEE2505594E4DE28F5A6C86FA142631",1)</v>
      </c>
      <c r="G239" s="6" t="s">
        <v>295</v>
      </c>
      <c r="H239" s="4" t="s">
        <v>482</v>
      </c>
      <c r="I239" s="4" t="s">
        <v>482</v>
      </c>
    </row>
    <row r="240" ht="148.5" customHeight="1" spans="1:9">
      <c r="A240" s="3">
        <v>239</v>
      </c>
      <c r="B240" s="4" t="s">
        <v>139</v>
      </c>
      <c r="C240" s="4" t="s">
        <v>11</v>
      </c>
      <c r="D240" s="4">
        <v>20</v>
      </c>
      <c r="E240" s="4" t="s">
        <v>810</v>
      </c>
      <c r="F240" s="11" t="str">
        <f>_xlfn.DISPIMG("ID_FFC334ACE8904A36BF7070C51D6927F1",1)</f>
        <v>=DISPIMG("ID_FFC334ACE8904A36BF7070C51D6927F1",1)</v>
      </c>
      <c r="G240" s="6" t="s">
        <v>140</v>
      </c>
      <c r="H240" s="4" t="s">
        <v>482</v>
      </c>
      <c r="I240" s="4" t="s">
        <v>482</v>
      </c>
    </row>
    <row r="241" ht="148.5" customHeight="1" spans="1:9">
      <c r="A241" s="3">
        <v>240</v>
      </c>
      <c r="B241" s="4" t="s">
        <v>813</v>
      </c>
      <c r="C241" s="4" t="s">
        <v>11</v>
      </c>
      <c r="D241" s="4">
        <v>12421</v>
      </c>
      <c r="E241" s="4" t="s">
        <v>810</v>
      </c>
      <c r="F241" s="5" t="str">
        <f>_xlfn.DISPIMG("ID_623111231B6E4B708E36C28C77EDF441",1)</f>
        <v>=DISPIMG("ID_623111231B6E4B708E36C28C77EDF441",1)</v>
      </c>
      <c r="G241" s="6" t="s">
        <v>342</v>
      </c>
      <c r="H241" s="4" t="s">
        <v>814</v>
      </c>
      <c r="I241" s="4" t="s">
        <v>482</v>
      </c>
    </row>
    <row r="242" ht="162" customHeight="1" spans="1:9">
      <c r="A242" s="3">
        <v>241</v>
      </c>
      <c r="B242" s="4" t="s">
        <v>625</v>
      </c>
      <c r="C242" s="4" t="s">
        <v>11</v>
      </c>
      <c r="D242" s="4">
        <v>7.65</v>
      </c>
      <c r="E242" s="4" t="s">
        <v>810</v>
      </c>
      <c r="F242" s="5" t="str">
        <f>_xlfn.DISPIMG("ID_B13D5B8F6DA84A0C82824AF1661A6A7B",1)</f>
        <v>=DISPIMG("ID_B13D5B8F6DA84A0C82824AF1661A6A7B",1)</v>
      </c>
      <c r="G242" s="6" t="s">
        <v>626</v>
      </c>
      <c r="H242" s="4" t="s">
        <v>482</v>
      </c>
      <c r="I242" s="4" t="s">
        <v>482</v>
      </c>
    </row>
    <row r="243" ht="175.5" customHeight="1" spans="1:9">
      <c r="A243" s="3">
        <v>242</v>
      </c>
      <c r="B243" s="4" t="s">
        <v>363</v>
      </c>
      <c r="C243" s="4" t="s">
        <v>11</v>
      </c>
      <c r="D243" s="4">
        <v>120969.495</v>
      </c>
      <c r="E243" s="4" t="s">
        <v>810</v>
      </c>
      <c r="F243" s="5" t="str">
        <f>_xlfn.DISPIMG("ID_473AD28775004BF1A4FA9690B764EA2A",1)</f>
        <v>=DISPIMG("ID_473AD28775004BF1A4FA9690B764EA2A",1)</v>
      </c>
      <c r="G243" s="6" t="s">
        <v>272</v>
      </c>
      <c r="H243" s="4" t="s">
        <v>482</v>
      </c>
      <c r="I243" s="4" t="s">
        <v>482</v>
      </c>
    </row>
    <row r="244" ht="162" customHeight="1" spans="1:9">
      <c r="A244" s="3">
        <v>243</v>
      </c>
      <c r="B244" s="4" t="s">
        <v>134</v>
      </c>
      <c r="C244" s="4" t="s">
        <v>11</v>
      </c>
      <c r="D244" s="4">
        <v>20</v>
      </c>
      <c r="E244" s="4" t="s">
        <v>810</v>
      </c>
      <c r="F244" s="11" t="str">
        <f>_xlfn.DISPIMG("ID_B6D7F79D4C1C4C67A6D077D6E1FC6FA2",1)</f>
        <v>=DISPIMG("ID_B6D7F79D4C1C4C67A6D077D6E1FC6FA2",1)</v>
      </c>
      <c r="G244" s="6" t="s">
        <v>135</v>
      </c>
      <c r="H244" s="4" t="s">
        <v>482</v>
      </c>
      <c r="I244" s="4" t="s">
        <v>482</v>
      </c>
    </row>
    <row r="245" ht="118.55" spans="1:9">
      <c r="A245" s="3">
        <v>244</v>
      </c>
      <c r="B245" s="4" t="s">
        <v>815</v>
      </c>
      <c r="C245" s="7" t="s">
        <v>11</v>
      </c>
      <c r="D245" s="4">
        <v>50</v>
      </c>
      <c r="E245" s="4" t="s">
        <v>810</v>
      </c>
      <c r="F245" s="14" t="str">
        <f>_xlfn.DISPIMG("ID_AB3D88B098F84FDBB878F61231D71E01",1)</f>
        <v>=DISPIMG("ID_AB3D88B098F84FDBB878F61231D71E01",1)</v>
      </c>
      <c r="G245" s="6" t="s">
        <v>816</v>
      </c>
      <c r="H245" s="7" t="s">
        <v>482</v>
      </c>
      <c r="I245" s="7" t="s">
        <v>482</v>
      </c>
    </row>
    <row r="246" ht="175.5" customHeight="1" spans="1:9">
      <c r="A246" s="3">
        <v>245</v>
      </c>
      <c r="B246" s="4" t="s">
        <v>141</v>
      </c>
      <c r="C246" s="4" t="s">
        <v>11</v>
      </c>
      <c r="D246" s="4">
        <v>20</v>
      </c>
      <c r="E246" s="4" t="s">
        <v>810</v>
      </c>
      <c r="F246" s="5" t="str">
        <f>_xlfn.DISPIMG("ID_33BCEC011B334C01817664D467CC01FE",1)</f>
        <v>=DISPIMG("ID_33BCEC011B334C01817664D467CC01FE",1)</v>
      </c>
      <c r="G246" s="6" t="s">
        <v>142</v>
      </c>
      <c r="H246" s="4" t="s">
        <v>482</v>
      </c>
      <c r="I246" s="4" t="s">
        <v>482</v>
      </c>
    </row>
    <row r="247" ht="162" customHeight="1" spans="1:9">
      <c r="A247" s="3">
        <v>246</v>
      </c>
      <c r="B247" s="7" t="s">
        <v>136</v>
      </c>
      <c r="C247" s="7" t="s">
        <v>11</v>
      </c>
      <c r="D247" s="7">
        <v>1.1</v>
      </c>
      <c r="E247" s="4" t="s">
        <v>810</v>
      </c>
      <c r="F247" s="8" t="str">
        <f>_xlfn.DISPIMG("ID_75EE7DD3F7724284A7223ECCBE492FF0",1)</f>
        <v>=DISPIMG("ID_75EE7DD3F7724284A7223ECCBE492FF0",1)</v>
      </c>
      <c r="G247" s="9" t="s">
        <v>137</v>
      </c>
      <c r="H247" s="7" t="s">
        <v>482</v>
      </c>
      <c r="I247" s="7" t="s">
        <v>482</v>
      </c>
    </row>
    <row r="248" ht="189" customHeight="1" spans="1:9">
      <c r="A248" s="3">
        <v>247</v>
      </c>
      <c r="B248" s="4" t="s">
        <v>627</v>
      </c>
      <c r="C248" s="4" t="s">
        <v>11</v>
      </c>
      <c r="D248" s="4">
        <v>7.9</v>
      </c>
      <c r="E248" s="4" t="s">
        <v>817</v>
      </c>
      <c r="F248" s="5" t="str">
        <f>_xlfn.DISPIMG("ID_1442413036534E5E855D7AAC23E00075",1)</f>
        <v>=DISPIMG("ID_1442413036534E5E855D7AAC23E00075",1)</v>
      </c>
      <c r="G248" s="6" t="s">
        <v>628</v>
      </c>
      <c r="H248" s="4" t="s">
        <v>482</v>
      </c>
      <c r="I248" s="4" t="s">
        <v>482</v>
      </c>
    </row>
    <row r="249" ht="162" customHeight="1" spans="1:9">
      <c r="A249" s="3">
        <v>248</v>
      </c>
      <c r="B249" s="4" t="s">
        <v>155</v>
      </c>
      <c r="C249" s="4" t="s">
        <v>11</v>
      </c>
      <c r="D249" s="4">
        <v>303.5</v>
      </c>
      <c r="E249" s="4" t="s">
        <v>817</v>
      </c>
      <c r="F249" s="5" t="str">
        <f>_xlfn.DISPIMG("ID_526F3185800B4AC2A811D481B828A27F",1)</f>
        <v>=DISPIMG("ID_526F3185800B4AC2A811D481B828A27F",1)</v>
      </c>
      <c r="G249" s="6" t="s">
        <v>156</v>
      </c>
      <c r="H249" s="4" t="s">
        <v>482</v>
      </c>
      <c r="I249" s="4" t="s">
        <v>482</v>
      </c>
    </row>
    <row r="250" ht="135" customHeight="1" spans="1:9">
      <c r="A250" s="3">
        <v>249</v>
      </c>
      <c r="B250" s="4" t="s">
        <v>94</v>
      </c>
      <c r="C250" s="4" t="s">
        <v>11</v>
      </c>
      <c r="D250" s="4">
        <v>332.4</v>
      </c>
      <c r="E250" s="4" t="s">
        <v>817</v>
      </c>
      <c r="F250" s="5" t="str">
        <f>_xlfn.DISPIMG("ID_750B3264D3904C179F340825062532F4",1)</f>
        <v>=DISPIMG("ID_750B3264D3904C179F340825062532F4",1)</v>
      </c>
      <c r="G250" s="6" t="s">
        <v>93</v>
      </c>
      <c r="H250" s="4" t="s">
        <v>482</v>
      </c>
      <c r="I250" s="4" t="s">
        <v>482</v>
      </c>
    </row>
    <row r="251" ht="148.5" customHeight="1" spans="1:9">
      <c r="A251" s="3">
        <v>250</v>
      </c>
      <c r="B251" s="4" t="s">
        <v>176</v>
      </c>
      <c r="C251" s="4" t="s">
        <v>11</v>
      </c>
      <c r="D251" s="4">
        <v>36.7</v>
      </c>
      <c r="E251" s="4" t="s">
        <v>817</v>
      </c>
      <c r="F251" s="5" t="str">
        <f>_xlfn.DISPIMG("ID_1BD615425D7848E68188BA5F05F145FE",1)</f>
        <v>=DISPIMG("ID_1BD615425D7848E68188BA5F05F145FE",1)</v>
      </c>
      <c r="G251" s="6" t="s">
        <v>177</v>
      </c>
      <c r="H251" s="4" t="s">
        <v>482</v>
      </c>
      <c r="I251" s="4" t="s">
        <v>482</v>
      </c>
    </row>
    <row r="252" ht="189" customHeight="1" spans="1:9">
      <c r="A252" s="3">
        <v>251</v>
      </c>
      <c r="B252" s="4" t="s">
        <v>184</v>
      </c>
      <c r="C252" s="4" t="s">
        <v>11</v>
      </c>
      <c r="D252" s="4">
        <v>17874.25</v>
      </c>
      <c r="E252" s="4" t="s">
        <v>817</v>
      </c>
      <c r="F252" s="5" t="str">
        <f>_xlfn.DISPIMG("ID_C27B4824CC4E40CFB89460E356F4BB7A",1)</f>
        <v>=DISPIMG("ID_C27B4824CC4E40CFB89460E356F4BB7A",1)</v>
      </c>
      <c r="G252" s="6" t="s">
        <v>185</v>
      </c>
      <c r="H252" s="4" t="s">
        <v>482</v>
      </c>
      <c r="I252" s="4" t="s">
        <v>482</v>
      </c>
    </row>
    <row r="253" ht="202.5" customHeight="1" spans="1:9">
      <c r="A253" s="3">
        <v>252</v>
      </c>
      <c r="B253" s="4" t="s">
        <v>192</v>
      </c>
      <c r="C253" s="4" t="s">
        <v>11</v>
      </c>
      <c r="D253" s="4">
        <v>530.25</v>
      </c>
      <c r="E253" s="4" t="s">
        <v>817</v>
      </c>
      <c r="F253" s="5" t="str">
        <f>_xlfn.DISPIMG("ID_60BA67331DAE4A68BDDDF9190537A1FD",1)</f>
        <v>=DISPIMG("ID_60BA67331DAE4A68BDDDF9190537A1FD",1)</v>
      </c>
      <c r="G253" s="6" t="s">
        <v>193</v>
      </c>
      <c r="H253" s="4" t="s">
        <v>482</v>
      </c>
      <c r="I253" s="4" t="s">
        <v>482</v>
      </c>
    </row>
    <row r="254" ht="162" customHeight="1" spans="1:9">
      <c r="A254" s="3">
        <v>253</v>
      </c>
      <c r="B254" s="4" t="s">
        <v>204</v>
      </c>
      <c r="C254" s="4" t="s">
        <v>11</v>
      </c>
      <c r="D254" s="4">
        <v>17.75</v>
      </c>
      <c r="E254" s="4" t="s">
        <v>817</v>
      </c>
      <c r="F254" s="5" t="str">
        <f>_xlfn.DISPIMG("ID_A282981F444C4960B64D1720C79EC983",1)</f>
        <v>=DISPIMG("ID_A282981F444C4960B64D1720C79EC983",1)</v>
      </c>
      <c r="G254" s="6" t="s">
        <v>205</v>
      </c>
      <c r="H254" s="4" t="s">
        <v>482</v>
      </c>
      <c r="I254" s="4" t="s">
        <v>482</v>
      </c>
    </row>
    <row r="255" ht="148.5" customHeight="1" spans="1:9">
      <c r="A255" s="3">
        <v>254</v>
      </c>
      <c r="B255" s="4" t="s">
        <v>818</v>
      </c>
      <c r="C255" s="4" t="s">
        <v>11</v>
      </c>
      <c r="D255" s="4">
        <v>3448.3</v>
      </c>
      <c r="E255" s="4" t="s">
        <v>817</v>
      </c>
      <c r="F255" s="5" t="str">
        <f>_xlfn.DISPIMG("ID_4737DA09C4374BD0A24A2B6152EC5470",1)</f>
        <v>=DISPIMG("ID_4737DA09C4374BD0A24A2B6152EC5470",1)</v>
      </c>
      <c r="G255" s="6" t="s">
        <v>217</v>
      </c>
      <c r="H255" s="4" t="s">
        <v>482</v>
      </c>
      <c r="I255" s="4" t="s">
        <v>482</v>
      </c>
    </row>
    <row r="256" ht="148.5" customHeight="1" spans="1:9">
      <c r="A256" s="3">
        <v>255</v>
      </c>
      <c r="B256" s="4" t="s">
        <v>224</v>
      </c>
      <c r="C256" s="4" t="s">
        <v>11</v>
      </c>
      <c r="D256" s="4">
        <v>445.2</v>
      </c>
      <c r="E256" s="4" t="s">
        <v>817</v>
      </c>
      <c r="F256" s="5" t="str">
        <f>_xlfn.DISPIMG("ID_E9ABCC13394E4128BCF5A51C4338A6E4",1)</f>
        <v>=DISPIMG("ID_E9ABCC13394E4128BCF5A51C4338A6E4",1)</v>
      </c>
      <c r="G256" s="6" t="s">
        <v>225</v>
      </c>
      <c r="H256" s="4" t="s">
        <v>482</v>
      </c>
      <c r="I256" s="4" t="s">
        <v>482</v>
      </c>
    </row>
    <row r="257" ht="135" customHeight="1" spans="1:9">
      <c r="A257" s="3">
        <v>256</v>
      </c>
      <c r="B257" s="4" t="s">
        <v>232</v>
      </c>
      <c r="C257" s="4" t="s">
        <v>11</v>
      </c>
      <c r="D257" s="4">
        <v>15385.7</v>
      </c>
      <c r="E257" s="4" t="s">
        <v>817</v>
      </c>
      <c r="F257" s="12" t="str">
        <f>_xlfn.DISPIMG("ID_AF3F58A0688E412297BA13CEF5384890",1)</f>
        <v>=DISPIMG("ID_AF3F58A0688E412297BA13CEF5384890",1)</v>
      </c>
      <c r="G257" s="6" t="s">
        <v>233</v>
      </c>
      <c r="H257" s="4" t="s">
        <v>568</v>
      </c>
      <c r="I257" s="4" t="s">
        <v>482</v>
      </c>
    </row>
    <row r="258" ht="148.5" customHeight="1" spans="1:9">
      <c r="A258" s="3">
        <v>257</v>
      </c>
      <c r="B258" s="4" t="s">
        <v>635</v>
      </c>
      <c r="C258" s="4" t="s">
        <v>11</v>
      </c>
      <c r="D258" s="4">
        <v>1</v>
      </c>
      <c r="E258" s="4" t="s">
        <v>817</v>
      </c>
      <c r="F258" s="5" t="str">
        <f>_xlfn.DISPIMG("ID_12729F1B055D49D4836EA15373BCD75D",1)</f>
        <v>=DISPIMG("ID_12729F1B055D49D4836EA15373BCD75D",1)</v>
      </c>
      <c r="G258" s="6" t="s">
        <v>636</v>
      </c>
      <c r="H258" s="4" t="s">
        <v>482</v>
      </c>
      <c r="I258" s="4" t="s">
        <v>482</v>
      </c>
    </row>
    <row r="259" ht="148.5" customHeight="1" spans="1:9">
      <c r="A259" s="3">
        <v>258</v>
      </c>
      <c r="B259" s="4" t="s">
        <v>819</v>
      </c>
      <c r="C259" s="4" t="s">
        <v>11</v>
      </c>
      <c r="D259" s="4">
        <v>1360</v>
      </c>
      <c r="E259" s="4" t="s">
        <v>817</v>
      </c>
      <c r="F259" s="5" t="str">
        <f>_xlfn.DISPIMG("ID_2BF328703ED5463CA3C3883E515BBEC5",1)</f>
        <v>=DISPIMG("ID_2BF328703ED5463CA3C3883E515BBEC5",1)</v>
      </c>
      <c r="G259" s="6" t="s">
        <v>235</v>
      </c>
      <c r="H259" s="4" t="s">
        <v>482</v>
      </c>
      <c r="I259" s="4" t="s">
        <v>482</v>
      </c>
    </row>
    <row r="260" ht="162" customHeight="1" spans="1:9">
      <c r="A260" s="3">
        <v>259</v>
      </c>
      <c r="B260" s="4" t="s">
        <v>236</v>
      </c>
      <c r="C260" s="4" t="s">
        <v>11</v>
      </c>
      <c r="D260" s="4">
        <v>1</v>
      </c>
      <c r="E260" s="4" t="s">
        <v>817</v>
      </c>
      <c r="F260" s="5" t="str">
        <f>_xlfn.DISPIMG("ID_BC266144017A4E7A8AB52E18B948B6AD",1)</f>
        <v>=DISPIMG("ID_BC266144017A4E7A8AB52E18B948B6AD",1)</v>
      </c>
      <c r="G260" s="6" t="s">
        <v>225</v>
      </c>
      <c r="H260" s="4" t="s">
        <v>482</v>
      </c>
      <c r="I260" s="4" t="s">
        <v>482</v>
      </c>
    </row>
    <row r="261" ht="162" customHeight="1" spans="1:9">
      <c r="A261" s="3">
        <v>260</v>
      </c>
      <c r="B261" s="4" t="s">
        <v>243</v>
      </c>
      <c r="C261" s="4" t="s">
        <v>11</v>
      </c>
      <c r="D261" s="4">
        <v>539.2</v>
      </c>
      <c r="E261" s="4" t="s">
        <v>817</v>
      </c>
      <c r="F261" s="5" t="str">
        <f>_xlfn.DISPIMG("ID_DF0F43331F5B45FA828AA1B23744AF81",1)</f>
        <v>=DISPIMG("ID_DF0F43331F5B45FA828AA1B23744AF81",1)</v>
      </c>
      <c r="G261" s="6" t="s">
        <v>244</v>
      </c>
      <c r="H261" s="4" t="s">
        <v>482</v>
      </c>
      <c r="I261" s="4" t="s">
        <v>482</v>
      </c>
    </row>
    <row r="262" ht="148.5" customHeight="1" spans="1:9">
      <c r="A262" s="3">
        <v>261</v>
      </c>
      <c r="B262" s="4" t="s">
        <v>610</v>
      </c>
      <c r="C262" s="4" t="s">
        <v>11</v>
      </c>
      <c r="D262" s="4">
        <v>117.65</v>
      </c>
      <c r="E262" s="4" t="s">
        <v>817</v>
      </c>
      <c r="F262" s="5" t="str">
        <f>_xlfn.DISPIMG("ID_5B01814EA3FF46A1AF8F6D3D9D7FC1B0",1)</f>
        <v>=DISPIMG("ID_5B01814EA3FF46A1AF8F6D3D9D7FC1B0",1)</v>
      </c>
      <c r="G262" s="6" t="s">
        <v>611</v>
      </c>
      <c r="H262" s="4" t="s">
        <v>482</v>
      </c>
      <c r="I262" s="4" t="s">
        <v>482</v>
      </c>
    </row>
    <row r="263" ht="149" customHeight="1" spans="1:9">
      <c r="A263" s="3">
        <v>262</v>
      </c>
      <c r="B263" s="4" t="s">
        <v>820</v>
      </c>
      <c r="C263" s="4" t="s">
        <v>11</v>
      </c>
      <c r="D263" s="4">
        <v>26839.05</v>
      </c>
      <c r="E263" s="4" t="s">
        <v>817</v>
      </c>
      <c r="F263" s="5" t="str">
        <f>_xlfn.DISPIMG("ID_64F74B0596EA4BC990D416CB52255B9E",1)</f>
        <v>=DISPIMG("ID_64F74B0596EA4BC990D416CB52255B9E",1)</v>
      </c>
      <c r="G263" s="6" t="s">
        <v>821</v>
      </c>
      <c r="H263" s="4" t="s">
        <v>482</v>
      </c>
      <c r="I263" s="4" t="s">
        <v>482</v>
      </c>
    </row>
    <row r="264" ht="161" customHeight="1" spans="1:9">
      <c r="A264" s="3">
        <v>263</v>
      </c>
      <c r="B264" s="4" t="s">
        <v>300</v>
      </c>
      <c r="C264" s="4" t="s">
        <v>11</v>
      </c>
      <c r="D264" s="4">
        <v>2566.35</v>
      </c>
      <c r="E264" s="4" t="s">
        <v>817</v>
      </c>
      <c r="F264" s="5" t="str">
        <f>_xlfn.DISPIMG("ID_68F28D07ED39470DBBB057F516417148",1)</f>
        <v>=DISPIMG("ID_68F28D07ED39470DBBB057F516417148",1)</v>
      </c>
      <c r="G264" s="6" t="s">
        <v>301</v>
      </c>
      <c r="H264" s="4" t="s">
        <v>482</v>
      </c>
      <c r="I264" s="4" t="s">
        <v>482</v>
      </c>
    </row>
    <row r="265" ht="175.5" customHeight="1" spans="1:9">
      <c r="A265" s="3">
        <v>264</v>
      </c>
      <c r="B265" s="4" t="s">
        <v>304</v>
      </c>
      <c r="C265" s="4" t="s">
        <v>11</v>
      </c>
      <c r="D265" s="4">
        <v>9299.2</v>
      </c>
      <c r="E265" s="4" t="s">
        <v>817</v>
      </c>
      <c r="F265" s="5" t="str">
        <f>_xlfn.DISPIMG("ID_86E95171B6DB4C589A300FF2A27D4EE4",1)</f>
        <v>=DISPIMG("ID_86E95171B6DB4C589A300FF2A27D4EE4",1)</v>
      </c>
      <c r="G265" s="6" t="s">
        <v>177</v>
      </c>
      <c r="H265" s="4" t="s">
        <v>482</v>
      </c>
      <c r="I265" s="4" t="s">
        <v>482</v>
      </c>
    </row>
    <row r="266" ht="135" customHeight="1" spans="1:9">
      <c r="A266" s="3">
        <v>265</v>
      </c>
      <c r="B266" s="4" t="s">
        <v>306</v>
      </c>
      <c r="C266" s="4" t="s">
        <v>11</v>
      </c>
      <c r="D266" s="4">
        <v>4694.4</v>
      </c>
      <c r="E266" s="4" t="s">
        <v>817</v>
      </c>
      <c r="F266" s="5" t="str">
        <f>_xlfn.DISPIMG("ID_D4C86A9A5AF843A4A935471F2CB2092D",1)</f>
        <v>=DISPIMG("ID_D4C86A9A5AF843A4A935471F2CB2092D",1)</v>
      </c>
      <c r="G266" s="6" t="s">
        <v>307</v>
      </c>
      <c r="H266" s="4" t="s">
        <v>482</v>
      </c>
      <c r="I266" s="4" t="s">
        <v>482</v>
      </c>
    </row>
    <row r="267" ht="148.5" customHeight="1" spans="1:9">
      <c r="A267" s="3">
        <v>266</v>
      </c>
      <c r="B267" s="4" t="s">
        <v>308</v>
      </c>
      <c r="C267" s="4" t="s">
        <v>11</v>
      </c>
      <c r="D267" s="4">
        <v>50</v>
      </c>
      <c r="E267" s="4" t="s">
        <v>817</v>
      </c>
      <c r="F267" s="5" t="str">
        <f>_xlfn.DISPIMG("ID_DB9D8B6BB77A46B4AC99869E95A3016A",1)</f>
        <v>=DISPIMG("ID_DB9D8B6BB77A46B4AC99869E95A3016A",1)</v>
      </c>
      <c r="G267" s="6" t="s">
        <v>225</v>
      </c>
      <c r="H267" s="4" t="s">
        <v>482</v>
      </c>
      <c r="I267" s="4" t="s">
        <v>482</v>
      </c>
    </row>
    <row r="268" ht="162" customHeight="1" spans="1:9">
      <c r="A268" s="3">
        <v>267</v>
      </c>
      <c r="B268" s="4" t="s">
        <v>316</v>
      </c>
      <c r="C268" s="4" t="s">
        <v>11</v>
      </c>
      <c r="D268" s="4">
        <v>2807.7</v>
      </c>
      <c r="E268" s="4" t="s">
        <v>817</v>
      </c>
      <c r="F268" s="5" t="str">
        <f>_xlfn.DISPIMG("ID_F10742B4E2144A199647E8C9140AB336",1)</f>
        <v>=DISPIMG("ID_F10742B4E2144A199647E8C9140AB336",1)</v>
      </c>
      <c r="G268" s="6" t="s">
        <v>317</v>
      </c>
      <c r="H268" s="4" t="s">
        <v>482</v>
      </c>
      <c r="I268" s="4" t="s">
        <v>482</v>
      </c>
    </row>
    <row r="269" ht="148.5" customHeight="1" spans="1:9">
      <c r="A269" s="3">
        <v>268</v>
      </c>
      <c r="B269" s="4" t="s">
        <v>822</v>
      </c>
      <c r="C269" s="4" t="s">
        <v>11</v>
      </c>
      <c r="D269" s="4">
        <v>14470</v>
      </c>
      <c r="E269" s="4" t="s">
        <v>817</v>
      </c>
      <c r="F269" s="5" t="str">
        <f>_xlfn.DISPIMG("ID_DFE72E49030441A4B0DB65D539D75E7C",1)</f>
        <v>=DISPIMG("ID_DFE72E49030441A4B0DB65D539D75E7C",1)</v>
      </c>
      <c r="G269" s="6" t="s">
        <v>329</v>
      </c>
      <c r="H269" s="4" t="s">
        <v>482</v>
      </c>
      <c r="I269" s="4" t="s">
        <v>482</v>
      </c>
    </row>
    <row r="270" ht="175.5" customHeight="1" spans="1:9">
      <c r="A270" s="3">
        <v>269</v>
      </c>
      <c r="B270" s="4" t="s">
        <v>823</v>
      </c>
      <c r="C270" s="4" t="s">
        <v>11</v>
      </c>
      <c r="D270" s="4">
        <v>20221.1</v>
      </c>
      <c r="E270" s="4" t="s">
        <v>817</v>
      </c>
      <c r="F270" s="5" t="str">
        <f>_xlfn.DISPIMG("ID_CDC5F65AD524434F8864363ECAAD82B6",1)</f>
        <v>=DISPIMG("ID_CDC5F65AD524434F8864363ECAAD82B6",1)</v>
      </c>
      <c r="G270" s="6" t="s">
        <v>225</v>
      </c>
      <c r="H270" s="4" t="s">
        <v>482</v>
      </c>
      <c r="I270" s="4" t="s">
        <v>482</v>
      </c>
    </row>
    <row r="271" ht="162" customHeight="1" spans="1:9">
      <c r="A271" s="3">
        <v>270</v>
      </c>
      <c r="B271" s="4" t="s">
        <v>566</v>
      </c>
      <c r="C271" s="4" t="s">
        <v>11</v>
      </c>
      <c r="D271" s="4">
        <v>2360.45</v>
      </c>
      <c r="E271" s="4" t="s">
        <v>817</v>
      </c>
      <c r="F271" s="5" t="str">
        <f>_xlfn.DISPIMG("ID_F78016432EB14A1F8241FE976826823D",1)</f>
        <v>=DISPIMG("ID_F78016432EB14A1F8241FE976826823D",1)</v>
      </c>
      <c r="G271" s="6" t="s">
        <v>567</v>
      </c>
      <c r="H271" s="4" t="s">
        <v>482</v>
      </c>
      <c r="I271" s="4" t="s">
        <v>482</v>
      </c>
    </row>
    <row r="272" ht="175.5" customHeight="1" spans="1:9">
      <c r="A272" s="3">
        <v>271</v>
      </c>
      <c r="B272" s="4" t="s">
        <v>92</v>
      </c>
      <c r="C272" s="4" t="s">
        <v>11</v>
      </c>
      <c r="D272" s="4">
        <v>1000</v>
      </c>
      <c r="E272" s="4" t="s">
        <v>817</v>
      </c>
      <c r="F272" s="5" t="str">
        <f>_xlfn.DISPIMG("ID_DC2196FFDA484AA686E135BED21B03F8",1)</f>
        <v>=DISPIMG("ID_DC2196FFDA484AA686E135BED21B03F8",1)</v>
      </c>
      <c r="G272" s="6" t="s">
        <v>93</v>
      </c>
      <c r="H272" s="4" t="s">
        <v>482</v>
      </c>
      <c r="I272" s="4" t="s">
        <v>482</v>
      </c>
    </row>
    <row r="273" ht="148.5" customHeight="1" spans="1:9">
      <c r="A273" s="3">
        <v>272</v>
      </c>
      <c r="B273" s="4" t="s">
        <v>824</v>
      </c>
      <c r="C273" s="7" t="s">
        <v>11</v>
      </c>
      <c r="D273" s="4">
        <v>100</v>
      </c>
      <c r="E273" s="4" t="s">
        <v>817</v>
      </c>
      <c r="F273" s="5" t="str">
        <f>_xlfn.DISPIMG("ID_BD9D7B962FFD479AAE34C547182FC13C",1)</f>
        <v>=DISPIMG("ID_BD9D7B962FFD479AAE34C547182FC13C",1)</v>
      </c>
      <c r="G273" s="6" t="s">
        <v>825</v>
      </c>
      <c r="H273" s="7" t="s">
        <v>482</v>
      </c>
      <c r="I273" s="7" t="s">
        <v>482</v>
      </c>
    </row>
    <row r="274" ht="148.5" customHeight="1" spans="1:9">
      <c r="A274" s="3">
        <v>273</v>
      </c>
      <c r="B274" s="4" t="s">
        <v>826</v>
      </c>
      <c r="C274" s="7" t="s">
        <v>11</v>
      </c>
      <c r="D274" s="4">
        <v>100</v>
      </c>
      <c r="E274" s="4" t="s">
        <v>817</v>
      </c>
      <c r="F274" s="14" t="str">
        <f>_xlfn.DISPIMG("ID_3CF710927ABC49F0BEC35E2D8E8678DA",1)</f>
        <v>=DISPIMG("ID_3CF710927ABC49F0BEC35E2D8E8678DA",1)</v>
      </c>
      <c r="G274" s="6" t="s">
        <v>827</v>
      </c>
      <c r="H274" s="7" t="s">
        <v>482</v>
      </c>
      <c r="I274" s="7" t="s">
        <v>482</v>
      </c>
    </row>
    <row r="275" ht="135.95" spans="1:9">
      <c r="A275" s="3">
        <v>274</v>
      </c>
      <c r="B275" s="4" t="s">
        <v>372</v>
      </c>
      <c r="C275" s="4" t="s">
        <v>11</v>
      </c>
      <c r="D275" s="4">
        <v>3375.5</v>
      </c>
      <c r="E275" s="4" t="s">
        <v>817</v>
      </c>
      <c r="F275" s="14" t="str">
        <f>_xlfn.DISPIMG("ID_91B14FF139BC42DB9302932AFE8A0CB3",1)</f>
        <v>=DISPIMG("ID_91B14FF139BC42DB9302932AFE8A0CB3",1)</v>
      </c>
      <c r="G275" s="6" t="s">
        <v>373</v>
      </c>
      <c r="H275" s="4" t="s">
        <v>571</v>
      </c>
      <c r="I275" s="4" t="s">
        <v>482</v>
      </c>
    </row>
    <row r="276" ht="162" customHeight="1" spans="1:9">
      <c r="A276" s="3">
        <v>275</v>
      </c>
      <c r="B276" s="4" t="s">
        <v>374</v>
      </c>
      <c r="C276" s="4" t="s">
        <v>11</v>
      </c>
      <c r="D276" s="4">
        <v>2252.8</v>
      </c>
      <c r="E276" s="4" t="s">
        <v>817</v>
      </c>
      <c r="F276" s="5" t="str">
        <f>_xlfn.DISPIMG("ID_B25CA359DA5E4296BEF94BFB14C2CEED",1)</f>
        <v>=DISPIMG("ID_B25CA359DA5E4296BEF94BFB14C2CEED",1)</v>
      </c>
      <c r="G276" s="6" t="s">
        <v>225</v>
      </c>
      <c r="H276" s="4" t="s">
        <v>482</v>
      </c>
      <c r="I276" s="4" t="s">
        <v>482</v>
      </c>
    </row>
    <row r="277" ht="148.5" customHeight="1" spans="1:9">
      <c r="A277" s="3">
        <v>276</v>
      </c>
      <c r="B277" s="4" t="s">
        <v>129</v>
      </c>
      <c r="C277" s="4" t="s">
        <v>11</v>
      </c>
      <c r="D277" s="4">
        <v>1245.75</v>
      </c>
      <c r="E277" s="4" t="s">
        <v>828</v>
      </c>
      <c r="F277" s="5" t="str">
        <f>_xlfn.DISPIMG("ID_1E2E4C0609C7468FB162B88EE326898D",1)</f>
        <v>=DISPIMG("ID_1E2E4C0609C7468FB162B88EE326898D",1)</v>
      </c>
      <c r="G277" s="6" t="s">
        <v>131</v>
      </c>
      <c r="H277" s="4" t="s">
        <v>482</v>
      </c>
      <c r="I277" s="4" t="s">
        <v>482</v>
      </c>
    </row>
    <row r="278" ht="121.5" customHeight="1" spans="1:9">
      <c r="A278" s="3">
        <v>277</v>
      </c>
      <c r="B278" s="4" t="s">
        <v>153</v>
      </c>
      <c r="C278" s="4" t="s">
        <v>11</v>
      </c>
      <c r="D278" s="4">
        <v>0.45</v>
      </c>
      <c r="E278" s="4" t="s">
        <v>828</v>
      </c>
      <c r="F278" s="5" t="str">
        <f>_xlfn.DISPIMG("ID_34A0F819B93C4338BB308FB249705D03",1)</f>
        <v>=DISPIMG("ID_34A0F819B93C4338BB308FB249705D03",1)</v>
      </c>
      <c r="G278" s="6" t="s">
        <v>154</v>
      </c>
      <c r="H278" s="4" t="s">
        <v>482</v>
      </c>
      <c r="I278" s="4" t="s">
        <v>482</v>
      </c>
    </row>
    <row r="279" ht="135" customHeight="1" spans="1:9">
      <c r="A279" s="3">
        <v>278</v>
      </c>
      <c r="B279" s="4" t="s">
        <v>157</v>
      </c>
      <c r="C279" s="4" t="s">
        <v>11</v>
      </c>
      <c r="D279" s="4">
        <v>47.95</v>
      </c>
      <c r="E279" s="4" t="s">
        <v>828</v>
      </c>
      <c r="F279" s="5" t="str">
        <f>_xlfn.DISPIMG("ID_AAF55C110ED44ADAAB10C87E3BDDD522",1)</f>
        <v>=DISPIMG("ID_AAF55C110ED44ADAAB10C87E3BDDD522",1)</v>
      </c>
      <c r="G279" s="6" t="s">
        <v>158</v>
      </c>
      <c r="H279" s="4" t="s">
        <v>482</v>
      </c>
      <c r="I279" s="4" t="s">
        <v>482</v>
      </c>
    </row>
    <row r="280" ht="135" customHeight="1" spans="1:9">
      <c r="A280" s="3">
        <v>279</v>
      </c>
      <c r="B280" s="4" t="s">
        <v>172</v>
      </c>
      <c r="C280" s="4" t="s">
        <v>11</v>
      </c>
      <c r="D280" s="4">
        <v>1215.95</v>
      </c>
      <c r="E280" s="4" t="s">
        <v>828</v>
      </c>
      <c r="F280" s="5" t="str">
        <f>_xlfn.DISPIMG("ID_EB749560A75E4C948D2854AB3BBD92BA",1)</f>
        <v>=DISPIMG("ID_EB749560A75E4C948D2854AB3BBD92BA",1)</v>
      </c>
      <c r="G280" s="6" t="s">
        <v>173</v>
      </c>
      <c r="H280" s="4" t="s">
        <v>482</v>
      </c>
      <c r="I280" s="4" t="s">
        <v>482</v>
      </c>
    </row>
    <row r="281" ht="148.5" customHeight="1" spans="1:9">
      <c r="A281" s="3">
        <v>280</v>
      </c>
      <c r="B281" s="4" t="s">
        <v>632</v>
      </c>
      <c r="C281" s="4" t="s">
        <v>11</v>
      </c>
      <c r="D281" s="4">
        <v>3</v>
      </c>
      <c r="E281" s="4" t="s">
        <v>828</v>
      </c>
      <c r="F281" s="5" t="str">
        <f>_xlfn.DISPIMG("ID_B36748110F444EA9838BA838D02AEDAE",1)</f>
        <v>=DISPIMG("ID_B36748110F444EA9838BA838D02AEDAE",1)</v>
      </c>
      <c r="G281" s="6" t="s">
        <v>633</v>
      </c>
      <c r="H281" s="4" t="s">
        <v>482</v>
      </c>
      <c r="I281" s="4" t="s">
        <v>482</v>
      </c>
    </row>
    <row r="282" ht="162" customHeight="1" spans="1:9">
      <c r="A282" s="3">
        <v>281</v>
      </c>
      <c r="B282" s="4" t="s">
        <v>178</v>
      </c>
      <c r="C282" s="4" t="s">
        <v>11</v>
      </c>
      <c r="D282" s="4">
        <v>2961.03</v>
      </c>
      <c r="E282" s="4" t="s">
        <v>828</v>
      </c>
      <c r="F282" s="5" t="str">
        <f>_xlfn.DISPIMG("ID_AB2C6FC5205F4731AE4833FEA8E62649",1)</f>
        <v>=DISPIMG("ID_AB2C6FC5205F4731AE4833FEA8E62649",1)</v>
      </c>
      <c r="G282" s="6" t="s">
        <v>179</v>
      </c>
      <c r="H282" s="4" t="s">
        <v>482</v>
      </c>
      <c r="I282" s="4" t="s">
        <v>482</v>
      </c>
    </row>
    <row r="283" ht="148.5" customHeight="1" spans="1:9">
      <c r="A283" s="3">
        <v>282</v>
      </c>
      <c r="B283" s="4" t="s">
        <v>182</v>
      </c>
      <c r="C283" s="4" t="s">
        <v>11</v>
      </c>
      <c r="D283" s="4">
        <v>11771.8</v>
      </c>
      <c r="E283" s="4" t="s">
        <v>828</v>
      </c>
      <c r="F283" s="5" t="str">
        <f>_xlfn.DISPIMG("ID_9C6BC1540DFC48EB9F62A0CE1B5EA870",1)</f>
        <v>=DISPIMG("ID_9C6BC1540DFC48EB9F62A0CE1B5EA870",1)</v>
      </c>
      <c r="G283" s="6" t="s">
        <v>183</v>
      </c>
      <c r="H283" s="4" t="s">
        <v>564</v>
      </c>
      <c r="I283" s="4" t="s">
        <v>482</v>
      </c>
    </row>
    <row r="284" ht="148.5" customHeight="1" spans="1:9">
      <c r="A284" s="3">
        <v>283</v>
      </c>
      <c r="B284" s="4" t="s">
        <v>186</v>
      </c>
      <c r="C284" s="4" t="s">
        <v>11</v>
      </c>
      <c r="D284" s="4">
        <v>180</v>
      </c>
      <c r="E284" s="4" t="s">
        <v>828</v>
      </c>
      <c r="F284" s="5" t="str">
        <f>_xlfn.DISPIMG("ID_FFE8525B010E4BF7AD2E4B30F6633567",1)</f>
        <v>=DISPIMG("ID_FFE8525B010E4BF7AD2E4B30F6633567",1)</v>
      </c>
      <c r="G284" s="6" t="s">
        <v>187</v>
      </c>
      <c r="H284" s="4" t="s">
        <v>482</v>
      </c>
      <c r="I284" s="4" t="s">
        <v>482</v>
      </c>
    </row>
    <row r="285" ht="148.5" customHeight="1" spans="1:9">
      <c r="A285" s="3">
        <v>284</v>
      </c>
      <c r="B285" s="4" t="s">
        <v>194</v>
      </c>
      <c r="C285" s="4" t="s">
        <v>11</v>
      </c>
      <c r="D285" s="4">
        <v>401.35</v>
      </c>
      <c r="E285" s="4" t="s">
        <v>828</v>
      </c>
      <c r="F285" s="5" t="str">
        <f>_xlfn.DISPIMG("ID_FEE2356E781A4ECC8CCE40ECCF3C8265",1)</f>
        <v>=DISPIMG("ID_FEE2356E781A4ECC8CCE40ECCF3C8265",1)</v>
      </c>
      <c r="G285" s="6" t="s">
        <v>195</v>
      </c>
      <c r="H285" s="4" t="s">
        <v>620</v>
      </c>
      <c r="I285" s="4" t="s">
        <v>482</v>
      </c>
    </row>
    <row r="286" ht="148.5" customHeight="1" spans="1:9">
      <c r="A286" s="3">
        <v>285</v>
      </c>
      <c r="B286" s="4" t="s">
        <v>214</v>
      </c>
      <c r="C286" s="4" t="s">
        <v>11</v>
      </c>
      <c r="D286" s="4">
        <v>2924.25</v>
      </c>
      <c r="E286" s="4" t="s">
        <v>828</v>
      </c>
      <c r="F286" s="5" t="str">
        <f>_xlfn.DISPIMG("ID_8893C4379F614EF992186C19A235C59E",1)</f>
        <v>=DISPIMG("ID_8893C4379F614EF992186C19A235C59E",1)</v>
      </c>
      <c r="G286" s="6" t="s">
        <v>215</v>
      </c>
      <c r="H286" s="4" t="s">
        <v>482</v>
      </c>
      <c r="I286" s="4" t="s">
        <v>482</v>
      </c>
    </row>
    <row r="287" ht="175.5" customHeight="1" spans="1:9">
      <c r="A287" s="3">
        <v>286</v>
      </c>
      <c r="B287" s="4" t="s">
        <v>222</v>
      </c>
      <c r="C287" s="4" t="s">
        <v>11</v>
      </c>
      <c r="D287" s="4">
        <v>16769.3</v>
      </c>
      <c r="E287" s="4" t="s">
        <v>828</v>
      </c>
      <c r="F287" s="5" t="str">
        <f>_xlfn.DISPIMG("ID_1ABBE3A596424C32A77E2B99D131D05B",1)</f>
        <v>=DISPIMG("ID_1ABBE3A596424C32A77E2B99D131D05B",1)</v>
      </c>
      <c r="G287" s="6" t="s">
        <v>223</v>
      </c>
      <c r="H287" s="4" t="s">
        <v>574</v>
      </c>
      <c r="I287" s="4" t="s">
        <v>482</v>
      </c>
    </row>
    <row r="288" ht="175.5" customHeight="1" spans="1:9">
      <c r="A288" s="3">
        <v>287</v>
      </c>
      <c r="B288" s="4" t="s">
        <v>253</v>
      </c>
      <c r="C288" s="4" t="s">
        <v>11</v>
      </c>
      <c r="D288" s="4">
        <v>51</v>
      </c>
      <c r="E288" s="4" t="s">
        <v>828</v>
      </c>
      <c r="F288" s="5" t="str">
        <f>_xlfn.DISPIMG("ID_2B6FD20803C74147839CAD2C1DEB34A7",1)</f>
        <v>=DISPIMG("ID_2B6FD20803C74147839CAD2C1DEB34A7",1)</v>
      </c>
      <c r="G288" s="6" t="s">
        <v>254</v>
      </c>
      <c r="H288" s="4" t="s">
        <v>482</v>
      </c>
      <c r="I288" s="4" t="s">
        <v>482</v>
      </c>
    </row>
    <row r="289" ht="162" customHeight="1" spans="1:9">
      <c r="A289" s="3">
        <v>288</v>
      </c>
      <c r="B289" s="4" t="s">
        <v>257</v>
      </c>
      <c r="C289" s="4" t="s">
        <v>11</v>
      </c>
      <c r="D289" s="4">
        <v>11164.3</v>
      </c>
      <c r="E289" s="4" t="s">
        <v>828</v>
      </c>
      <c r="F289" s="5" t="str">
        <f>_xlfn.DISPIMG("ID_460A65C7AEC14EF4A1E824BBAFB1F707",1)</f>
        <v>=DISPIMG("ID_460A65C7AEC14EF4A1E824BBAFB1F707",1)</v>
      </c>
      <c r="G289" s="6" t="s">
        <v>258</v>
      </c>
      <c r="H289" s="4" t="s">
        <v>482</v>
      </c>
      <c r="I289" s="4" t="s">
        <v>482</v>
      </c>
    </row>
    <row r="290" ht="100.5" spans="1:9">
      <c r="A290" s="3">
        <v>289</v>
      </c>
      <c r="B290" s="4" t="s">
        <v>269</v>
      </c>
      <c r="C290" s="4" t="s">
        <v>11</v>
      </c>
      <c r="D290" s="4">
        <v>224.65</v>
      </c>
      <c r="E290" s="4" t="s">
        <v>828</v>
      </c>
      <c r="F290" s="14" t="str">
        <f>_xlfn.DISPIMG("ID_4856C95158114A76B612F7733185133A",1)</f>
        <v>=DISPIMG("ID_4856C95158114A76B612F7733185133A",1)</v>
      </c>
      <c r="G290" s="6" t="s">
        <v>270</v>
      </c>
      <c r="H290" s="4" t="s">
        <v>482</v>
      </c>
      <c r="I290" s="4" t="s">
        <v>482</v>
      </c>
    </row>
    <row r="291" ht="148.5" customHeight="1" spans="1:9">
      <c r="A291" s="3">
        <v>290</v>
      </c>
      <c r="B291" s="4" t="s">
        <v>273</v>
      </c>
      <c r="C291" s="4" t="s">
        <v>11</v>
      </c>
      <c r="D291" s="4">
        <v>15190.4</v>
      </c>
      <c r="E291" s="4" t="s">
        <v>828</v>
      </c>
      <c r="F291" s="5" t="str">
        <f>_xlfn.DISPIMG("ID_7E7BC027EEC44741959C018E90629EB5",1)</f>
        <v>=DISPIMG("ID_7E7BC027EEC44741959C018E90629EB5",1)</v>
      </c>
      <c r="G291" s="6" t="s">
        <v>274</v>
      </c>
      <c r="H291" s="4" t="s">
        <v>482</v>
      </c>
      <c r="I291" s="4" t="s">
        <v>482</v>
      </c>
    </row>
    <row r="292" ht="162" customHeight="1" spans="1:9">
      <c r="A292" s="3">
        <v>291</v>
      </c>
      <c r="B292" s="4" t="s">
        <v>281</v>
      </c>
      <c r="C292" s="4" t="s">
        <v>11</v>
      </c>
      <c r="D292" s="4">
        <v>30</v>
      </c>
      <c r="E292" s="4" t="s">
        <v>828</v>
      </c>
      <c r="F292" s="5" t="str">
        <f>_xlfn.DISPIMG("ID_D9A33D0B5A23457AA4B21742E0875F0A",1)</f>
        <v>=DISPIMG("ID_D9A33D0B5A23457AA4B21742E0875F0A",1)</v>
      </c>
      <c r="G292" s="6" t="s">
        <v>282</v>
      </c>
      <c r="H292" s="4" t="s">
        <v>482</v>
      </c>
      <c r="I292" s="4" t="s">
        <v>482</v>
      </c>
    </row>
    <row r="293" ht="162" customHeight="1" spans="1:9">
      <c r="A293" s="3">
        <v>292</v>
      </c>
      <c r="B293" s="4" t="s">
        <v>285</v>
      </c>
      <c r="C293" s="4" t="s">
        <v>11</v>
      </c>
      <c r="D293" s="4">
        <v>649.4</v>
      </c>
      <c r="E293" s="4" t="s">
        <v>828</v>
      </c>
      <c r="F293" s="5" t="str">
        <f>_xlfn.DISPIMG("ID_850B35B7528D402084F727D85E9B161D",1)</f>
        <v>=DISPIMG("ID_850B35B7528D402084F727D85E9B161D",1)</v>
      </c>
      <c r="G293" s="6" t="s">
        <v>173</v>
      </c>
      <c r="H293" s="4" t="s">
        <v>482</v>
      </c>
      <c r="I293" s="4" t="s">
        <v>482</v>
      </c>
    </row>
    <row r="294" ht="148.5" customHeight="1" spans="1:9">
      <c r="A294" s="3">
        <v>293</v>
      </c>
      <c r="B294" s="4" t="s">
        <v>220</v>
      </c>
      <c r="C294" s="4" t="s">
        <v>11</v>
      </c>
      <c r="D294" s="4">
        <v>30</v>
      </c>
      <c r="E294" s="4" t="s">
        <v>828</v>
      </c>
      <c r="F294" s="11" t="str">
        <f>_xlfn.DISPIMG("ID_A4AF4368192C4393B5E53CCC2E560675",1)</f>
        <v>=DISPIMG("ID_A4AF4368192C4393B5E53CCC2E560675",1)</v>
      </c>
      <c r="G294" s="6" t="s">
        <v>221</v>
      </c>
      <c r="H294" s="4" t="s">
        <v>482</v>
      </c>
      <c r="I294" s="4" t="s">
        <v>482</v>
      </c>
    </row>
    <row r="295" ht="162" customHeight="1" spans="1:9">
      <c r="A295" s="3">
        <v>294</v>
      </c>
      <c r="B295" s="4" t="s">
        <v>286</v>
      </c>
      <c r="C295" s="4" t="s">
        <v>11</v>
      </c>
      <c r="D295" s="4">
        <v>246.2</v>
      </c>
      <c r="E295" s="4" t="s">
        <v>828</v>
      </c>
      <c r="F295" s="5" t="str">
        <f>_xlfn.DISPIMG("ID_AAABF2C9A2FC4A68B4A96D9FC69BDCD9",1)</f>
        <v>=DISPIMG("ID_AAABF2C9A2FC4A68B4A96D9FC69BDCD9",1)</v>
      </c>
      <c r="G295" s="6" t="s">
        <v>287</v>
      </c>
      <c r="H295" s="4" t="s">
        <v>482</v>
      </c>
      <c r="I295" s="4" t="s">
        <v>482</v>
      </c>
    </row>
    <row r="296" ht="162" customHeight="1" spans="1:9">
      <c r="A296" s="3">
        <v>295</v>
      </c>
      <c r="B296" s="4" t="s">
        <v>829</v>
      </c>
      <c r="C296" s="4" t="s">
        <v>11</v>
      </c>
      <c r="D296" s="4">
        <v>198.7</v>
      </c>
      <c r="E296" s="4" t="s">
        <v>828</v>
      </c>
      <c r="F296" s="5" t="str">
        <f>_xlfn.DISPIMG("ID_D8B4CD5D884749228E649CC85F9E7E22",1)</f>
        <v>=DISPIMG("ID_D8B4CD5D884749228E649CC85F9E7E22",1)</v>
      </c>
      <c r="G296" s="6" t="s">
        <v>310</v>
      </c>
      <c r="H296" s="4" t="s">
        <v>482</v>
      </c>
      <c r="I296" s="4" t="s">
        <v>482</v>
      </c>
    </row>
    <row r="297" ht="162" customHeight="1" spans="1:9">
      <c r="A297" s="3">
        <v>296</v>
      </c>
      <c r="B297" s="4" t="s">
        <v>443</v>
      </c>
      <c r="C297" s="4" t="s">
        <v>11</v>
      </c>
      <c r="D297" s="4">
        <v>2751.3</v>
      </c>
      <c r="E297" s="4" t="s">
        <v>828</v>
      </c>
      <c r="F297" s="5" t="str">
        <f>_xlfn.DISPIMG("ID_F05E537D6CA742858C0225100B785F4B",1)</f>
        <v>=DISPIMG("ID_F05E537D6CA742858C0225100B785F4B",1)</v>
      </c>
      <c r="G297" s="6" t="s">
        <v>444</v>
      </c>
      <c r="H297" s="4" t="s">
        <v>482</v>
      </c>
      <c r="I297" s="4" t="s">
        <v>482</v>
      </c>
    </row>
    <row r="298" ht="175.5" customHeight="1" spans="1:9">
      <c r="A298" s="3">
        <v>297</v>
      </c>
      <c r="B298" s="4" t="s">
        <v>318</v>
      </c>
      <c r="C298" s="4" t="s">
        <v>11</v>
      </c>
      <c r="D298" s="4">
        <v>1799.95</v>
      </c>
      <c r="E298" s="4" t="s">
        <v>828</v>
      </c>
      <c r="F298" s="5" t="str">
        <f>_xlfn.DISPIMG("ID_C8A604D7ECCF409487E58AB333AC1AF6",1)</f>
        <v>=DISPIMG("ID_C8A604D7ECCF409487E58AB333AC1AF6",1)</v>
      </c>
      <c r="G298" s="6" t="s">
        <v>319</v>
      </c>
      <c r="H298" s="4" t="s">
        <v>482</v>
      </c>
      <c r="I298" s="4" t="s">
        <v>482</v>
      </c>
    </row>
    <row r="299" ht="53.4" spans="1:9">
      <c r="A299" s="3">
        <v>298</v>
      </c>
      <c r="B299" s="4" t="s">
        <v>322</v>
      </c>
      <c r="C299" s="4" t="s">
        <v>11</v>
      </c>
      <c r="D299" s="4">
        <v>43717.5</v>
      </c>
      <c r="E299" s="4" t="s">
        <v>828</v>
      </c>
      <c r="F299" s="5" t="str">
        <f>_xlfn.DISPIMG("ID_1B0C2E9C215F40718A27E9D2BE66B769",1)</f>
        <v>=DISPIMG("ID_1B0C2E9C215F40718A27E9D2BE66B769",1)</v>
      </c>
      <c r="G299" s="6" t="s">
        <v>213</v>
      </c>
      <c r="H299" s="4" t="s">
        <v>565</v>
      </c>
      <c r="I299" s="4" t="s">
        <v>482</v>
      </c>
    </row>
    <row r="300" ht="142" spans="1:9">
      <c r="A300" s="3">
        <v>299</v>
      </c>
      <c r="B300" s="4" t="s">
        <v>326</v>
      </c>
      <c r="C300" s="4" t="s">
        <v>11</v>
      </c>
      <c r="D300" s="4">
        <v>7300.1</v>
      </c>
      <c r="E300" s="4" t="s">
        <v>828</v>
      </c>
      <c r="F300" s="14" t="str">
        <f>_xlfn.DISPIMG("ID_A4BA7F7239CC4F9CA5FAB2C3A40FE866",1)</f>
        <v>=DISPIMG("ID_A4BA7F7239CC4F9CA5FAB2C3A40FE866",1)</v>
      </c>
      <c r="G300" s="6" t="s">
        <v>327</v>
      </c>
      <c r="H300" s="4" t="s">
        <v>482</v>
      </c>
      <c r="I300" s="4" t="s">
        <v>482</v>
      </c>
    </row>
    <row r="301" ht="202.5" customHeight="1" spans="1:9">
      <c r="A301" s="3">
        <v>300</v>
      </c>
      <c r="B301" s="4" t="s">
        <v>345</v>
      </c>
      <c r="C301" s="4" t="s">
        <v>11</v>
      </c>
      <c r="D301" s="4">
        <v>546.4</v>
      </c>
      <c r="E301" s="4" t="s">
        <v>828</v>
      </c>
      <c r="F301" s="5" t="str">
        <f>_xlfn.DISPIMG("ID_A00A9742B2834C709136655E38137D18",1)</f>
        <v>=DISPIMG("ID_A00A9742B2834C709136655E38137D18",1)</v>
      </c>
      <c r="G301" s="6" t="s">
        <v>346</v>
      </c>
      <c r="H301" s="4" t="s">
        <v>482</v>
      </c>
      <c r="I301" s="4" t="s">
        <v>482</v>
      </c>
    </row>
    <row r="302" ht="175.5" customHeight="1" spans="1:9">
      <c r="A302" s="3">
        <v>301</v>
      </c>
      <c r="B302" s="4" t="s">
        <v>349</v>
      </c>
      <c r="C302" s="4" t="s">
        <v>11</v>
      </c>
      <c r="D302" s="4">
        <v>1941.65</v>
      </c>
      <c r="E302" s="4" t="s">
        <v>828</v>
      </c>
      <c r="F302" s="5" t="str">
        <f>_xlfn.DISPIMG("ID_6A2AB91347ED4D608AC31B980DF3FAAE",1)</f>
        <v>=DISPIMG("ID_6A2AB91347ED4D608AC31B980DF3FAAE",1)</v>
      </c>
      <c r="G302" s="6" t="s">
        <v>350</v>
      </c>
      <c r="H302" s="4" t="s">
        <v>614</v>
      </c>
      <c r="I302" s="4" t="s">
        <v>482</v>
      </c>
    </row>
    <row r="303" ht="148.5" customHeight="1" spans="1:9">
      <c r="A303" s="3">
        <v>302</v>
      </c>
      <c r="B303" s="4" t="s">
        <v>830</v>
      </c>
      <c r="C303" s="7" t="s">
        <v>11</v>
      </c>
      <c r="D303" s="4">
        <v>50</v>
      </c>
      <c r="E303" s="4" t="s">
        <v>828</v>
      </c>
      <c r="F303" s="5" t="str">
        <f>_xlfn.DISPIMG("ID_13609F9C828548C884DD956CE89525AE",1)</f>
        <v>=DISPIMG("ID_13609F9C828548C884DD956CE89525AE",1)</v>
      </c>
      <c r="G303" s="6" t="s">
        <v>831</v>
      </c>
      <c r="H303" s="7" t="s">
        <v>482</v>
      </c>
      <c r="I303" s="7" t="s">
        <v>482</v>
      </c>
    </row>
    <row r="304" ht="216" customHeight="1" spans="1:9">
      <c r="A304" s="3">
        <v>303</v>
      </c>
      <c r="B304" s="4" t="s">
        <v>355</v>
      </c>
      <c r="C304" s="4" t="s">
        <v>11</v>
      </c>
      <c r="D304" s="4">
        <v>4024.4</v>
      </c>
      <c r="E304" s="4" t="s">
        <v>828</v>
      </c>
      <c r="F304" s="5" t="str">
        <f>_xlfn.DISPIMG("ID_853028C733CC43D88989681E2F9C4637",1)</f>
        <v>=DISPIMG("ID_853028C733CC43D88989681E2F9C4637",1)</v>
      </c>
      <c r="G304" s="6" t="s">
        <v>356</v>
      </c>
      <c r="H304" s="4" t="s">
        <v>653</v>
      </c>
      <c r="I304" s="4" t="s">
        <v>482</v>
      </c>
    </row>
    <row r="305" ht="162" customHeight="1" spans="1:9">
      <c r="A305" s="3">
        <v>304</v>
      </c>
      <c r="B305" s="4" t="s">
        <v>357</v>
      </c>
      <c r="C305" s="4" t="s">
        <v>11</v>
      </c>
      <c r="D305" s="4">
        <v>0.5</v>
      </c>
      <c r="E305" s="4" t="s">
        <v>828</v>
      </c>
      <c r="F305" s="5" t="str">
        <f>_xlfn.DISPIMG("ID_A29426B1A68348BFAC23BC1C17AA81BE",1)</f>
        <v>=DISPIMG("ID_A29426B1A68348BFAC23BC1C17AA81BE",1)</v>
      </c>
      <c r="G305" s="6" t="s">
        <v>358</v>
      </c>
      <c r="H305" s="4" t="s">
        <v>482</v>
      </c>
      <c r="I305" s="4" t="s">
        <v>482</v>
      </c>
    </row>
    <row r="306" ht="202.5" customHeight="1" spans="1:9">
      <c r="A306" s="3">
        <v>305</v>
      </c>
      <c r="B306" s="4" t="s">
        <v>359</v>
      </c>
      <c r="C306" s="4" t="s">
        <v>11</v>
      </c>
      <c r="D306" s="4">
        <v>1931.9</v>
      </c>
      <c r="E306" s="4" t="s">
        <v>828</v>
      </c>
      <c r="F306" s="5" t="str">
        <f>_xlfn.DISPIMG("ID_A0CACFCA058D4BB699AA47118B4B35A3",1)</f>
        <v>=DISPIMG("ID_A0CACFCA058D4BB699AA47118B4B35A3",1)</v>
      </c>
      <c r="G306" s="6" t="s">
        <v>360</v>
      </c>
      <c r="H306" s="4" t="s">
        <v>571</v>
      </c>
      <c r="I306" s="4" t="s">
        <v>482</v>
      </c>
    </row>
    <row r="307" ht="189" customHeight="1" spans="1:9">
      <c r="A307" s="3">
        <v>306</v>
      </c>
      <c r="B307" s="4" t="s">
        <v>832</v>
      </c>
      <c r="C307" s="7" t="s">
        <v>11</v>
      </c>
      <c r="D307" s="4">
        <v>100</v>
      </c>
      <c r="E307" s="4" t="s">
        <v>828</v>
      </c>
      <c r="F307" s="5" t="str">
        <f>_xlfn.DISPIMG("ID_E952E63570B347D9BE96363ADDBA35B1",1)</f>
        <v>=DISPIMG("ID_E952E63570B347D9BE96363ADDBA35B1",1)</v>
      </c>
      <c r="G307" s="6" t="s">
        <v>833</v>
      </c>
      <c r="H307" s="7" t="s">
        <v>482</v>
      </c>
      <c r="I307" s="7" t="s">
        <v>482</v>
      </c>
    </row>
    <row r="308" ht="162" customHeight="1" spans="1:9">
      <c r="A308" s="3">
        <v>307</v>
      </c>
      <c r="B308" s="4" t="s">
        <v>361</v>
      </c>
      <c r="C308" s="4" t="s">
        <v>11</v>
      </c>
      <c r="D308" s="4">
        <v>1.2</v>
      </c>
      <c r="E308" s="4" t="s">
        <v>828</v>
      </c>
      <c r="F308" s="5" t="str">
        <f>_xlfn.DISPIMG("ID_EE5E4C3A4BAA4D9FAC882B18C3DB9451",1)</f>
        <v>=DISPIMG("ID_EE5E4C3A4BAA4D9FAC882B18C3DB9451",1)</v>
      </c>
      <c r="G308" s="6" t="s">
        <v>362</v>
      </c>
      <c r="H308" s="4" t="s">
        <v>482</v>
      </c>
      <c r="I308" s="4" t="s">
        <v>482</v>
      </c>
    </row>
    <row r="309" ht="88.75" spans="1:9">
      <c r="A309" s="3">
        <v>308</v>
      </c>
      <c r="B309" s="4" t="s">
        <v>834</v>
      </c>
      <c r="C309" s="7" t="s">
        <v>11</v>
      </c>
      <c r="D309" s="4">
        <v>50</v>
      </c>
      <c r="E309" s="4" t="s">
        <v>828</v>
      </c>
      <c r="F309" s="14" t="str">
        <f>_xlfn.DISPIMG("ID_034D4801A63E4757BD8A3BDF8986B58B",1)</f>
        <v>=DISPIMG("ID_034D4801A63E4757BD8A3BDF8986B58B",1)</v>
      </c>
      <c r="G309" s="6" t="s">
        <v>835</v>
      </c>
      <c r="H309" s="7" t="s">
        <v>482</v>
      </c>
      <c r="I309" s="7" t="s">
        <v>482</v>
      </c>
    </row>
    <row r="310" ht="162" customHeight="1" spans="1:9">
      <c r="A310" s="3">
        <v>309</v>
      </c>
      <c r="B310" s="4" t="s">
        <v>118</v>
      </c>
      <c r="C310" s="4" t="s">
        <v>11</v>
      </c>
      <c r="D310" s="4">
        <v>2</v>
      </c>
      <c r="E310" s="4" t="s">
        <v>828</v>
      </c>
      <c r="F310" s="5" t="str">
        <f>_xlfn.DISPIMG("ID_287C96749174487B933FE139A43EA66E",1)</f>
        <v>=DISPIMG("ID_287C96749174487B933FE139A43EA66E",1)</v>
      </c>
      <c r="G310" s="6" t="s">
        <v>119</v>
      </c>
      <c r="H310" s="4" t="s">
        <v>482</v>
      </c>
      <c r="I310" s="4" t="s">
        <v>482</v>
      </c>
    </row>
    <row r="311" ht="148.5" customHeight="1" spans="1:9">
      <c r="A311" s="3">
        <v>310</v>
      </c>
      <c r="B311" s="4" t="s">
        <v>836</v>
      </c>
      <c r="C311" s="7" t="s">
        <v>11</v>
      </c>
      <c r="D311" s="4">
        <v>50</v>
      </c>
      <c r="E311" s="4" t="s">
        <v>828</v>
      </c>
      <c r="F311" s="5" t="str">
        <f>_xlfn.DISPIMG("ID_6E64B70CA5AA4B239E907D0A99BCA662",1)</f>
        <v>=DISPIMG("ID_6E64B70CA5AA4B239E907D0A99BCA662",1)</v>
      </c>
      <c r="G311" s="6" t="s">
        <v>837</v>
      </c>
      <c r="H311" s="7" t="s">
        <v>482</v>
      </c>
      <c r="I311" s="7" t="s">
        <v>482</v>
      </c>
    </row>
    <row r="312" ht="162" customHeight="1" spans="1:9">
      <c r="A312" s="3">
        <v>311</v>
      </c>
      <c r="B312" s="4" t="s">
        <v>838</v>
      </c>
      <c r="C312" s="7" t="s">
        <v>11</v>
      </c>
      <c r="D312" s="4">
        <v>50</v>
      </c>
      <c r="E312" s="4" t="s">
        <v>828</v>
      </c>
      <c r="F312" s="5" t="str">
        <f>_xlfn.DISPIMG("ID_E025163EF5A44667B533B636B19110A5",1)</f>
        <v>=DISPIMG("ID_E025163EF5A44667B533B636B19110A5",1)</v>
      </c>
      <c r="G312" s="6" t="s">
        <v>839</v>
      </c>
      <c r="H312" s="7" t="s">
        <v>482</v>
      </c>
      <c r="I312" s="7" t="s">
        <v>482</v>
      </c>
    </row>
    <row r="313" ht="189" customHeight="1" spans="1:9">
      <c r="A313" s="3">
        <v>312</v>
      </c>
      <c r="B313" s="4" t="s">
        <v>369</v>
      </c>
      <c r="C313" s="4" t="s">
        <v>11</v>
      </c>
      <c r="D313" s="4">
        <v>14703.5</v>
      </c>
      <c r="E313" s="4" t="s">
        <v>828</v>
      </c>
      <c r="F313" s="5" t="str">
        <f>_xlfn.DISPIMG("ID_DBA4A940454C4421B1FCB3039A927B60",1)</f>
        <v>=DISPIMG("ID_DBA4A940454C4421B1FCB3039A927B60",1)</v>
      </c>
      <c r="G313" s="6" t="s">
        <v>370</v>
      </c>
      <c r="H313" s="4" t="s">
        <v>482</v>
      </c>
      <c r="I313" s="4" t="s">
        <v>482</v>
      </c>
    </row>
    <row r="314" ht="175.5" customHeight="1" spans="1:9">
      <c r="A314" s="3">
        <v>313</v>
      </c>
      <c r="B314" s="4" t="s">
        <v>435</v>
      </c>
      <c r="C314" s="4" t="s">
        <v>11</v>
      </c>
      <c r="D314" s="4">
        <v>1</v>
      </c>
      <c r="E314" s="4" t="s">
        <v>828</v>
      </c>
      <c r="F314" s="10" t="str">
        <f>_xlfn.DISPIMG("ID_664E76F5E90C41DCA9D37BD265E9CD03",1)</f>
        <v>=DISPIMG("ID_664E76F5E90C41DCA9D37BD265E9CD03",1)</v>
      </c>
      <c r="G314" s="6" t="s">
        <v>436</v>
      </c>
      <c r="H314" s="4" t="s">
        <v>482</v>
      </c>
      <c r="I314" s="4" t="s">
        <v>482</v>
      </c>
    </row>
    <row r="315" ht="175.5" customHeight="1" spans="1:9">
      <c r="A315" s="3">
        <v>314</v>
      </c>
      <c r="B315" s="4" t="s">
        <v>588</v>
      </c>
      <c r="C315" s="4" t="s">
        <v>11</v>
      </c>
      <c r="D315" s="4">
        <v>628.45</v>
      </c>
      <c r="E315" s="4" t="s">
        <v>828</v>
      </c>
      <c r="F315" s="5" t="str">
        <f>_xlfn.DISPIMG("ID_F891D94557314AFD9CBCC63E51D28634",1)</f>
        <v>=DISPIMG("ID_F891D94557314AFD9CBCC63E51D28634",1)</v>
      </c>
      <c r="G315" s="6" t="s">
        <v>589</v>
      </c>
      <c r="H315" s="4" t="s">
        <v>482</v>
      </c>
      <c r="I315" s="4" t="s">
        <v>482</v>
      </c>
    </row>
    <row r="316" ht="148.5" customHeight="1" spans="1:9">
      <c r="A316" s="3">
        <v>315</v>
      </c>
      <c r="B316" s="4" t="s">
        <v>605</v>
      </c>
      <c r="C316" s="4" t="s">
        <v>11</v>
      </c>
      <c r="D316" s="4">
        <v>126.3</v>
      </c>
      <c r="E316" s="4" t="s">
        <v>840</v>
      </c>
      <c r="F316" s="5" t="str">
        <f>_xlfn.DISPIMG("ID_46EB58ED2D154CBC8766C874A8C2A2FB",1)</f>
        <v>=DISPIMG("ID_46EB58ED2D154CBC8766C874A8C2A2FB",1)</v>
      </c>
      <c r="G316" s="6" t="s">
        <v>600</v>
      </c>
      <c r="H316" s="4" t="s">
        <v>482</v>
      </c>
      <c r="I316" s="4" t="s">
        <v>482</v>
      </c>
    </row>
    <row r="317" ht="148.5" customHeight="1" spans="1:9">
      <c r="A317" s="3">
        <v>316</v>
      </c>
      <c r="B317" s="4" t="s">
        <v>591</v>
      </c>
      <c r="C317" s="4" t="s">
        <v>11</v>
      </c>
      <c r="D317" s="4">
        <v>621.7</v>
      </c>
      <c r="E317" s="4" t="s">
        <v>840</v>
      </c>
      <c r="F317" s="5" t="str">
        <f>_xlfn.DISPIMG("ID_C3A057E3A5634FE592D4264E5C7FA17E",1)</f>
        <v>=DISPIMG("ID_C3A057E3A5634FE592D4264E5C7FA17E",1)</v>
      </c>
      <c r="G317" s="6" t="s">
        <v>592</v>
      </c>
      <c r="H317" s="4" t="s">
        <v>482</v>
      </c>
      <c r="I317" s="4" t="s">
        <v>482</v>
      </c>
    </row>
    <row r="318" ht="189" customHeight="1" spans="1:9">
      <c r="A318" s="3">
        <v>317</v>
      </c>
      <c r="B318" s="4" t="s">
        <v>164</v>
      </c>
      <c r="C318" s="4" t="s">
        <v>11</v>
      </c>
      <c r="D318" s="4">
        <v>50</v>
      </c>
      <c r="E318" s="4" t="s">
        <v>840</v>
      </c>
      <c r="F318" s="5" t="str">
        <f>_xlfn.DISPIMG("ID_80CF7CFA91FF40569BB46E3FFAA5E1F1",1)</f>
        <v>=DISPIMG("ID_80CF7CFA91FF40569BB46E3FFAA5E1F1",1)</v>
      </c>
      <c r="G318" s="6" t="s">
        <v>165</v>
      </c>
      <c r="H318" s="4" t="s">
        <v>482</v>
      </c>
      <c r="I318" s="4" t="s">
        <v>482</v>
      </c>
    </row>
    <row r="319" ht="189" customHeight="1" spans="1:9">
      <c r="A319" s="3">
        <v>318</v>
      </c>
      <c r="B319" s="4" t="s">
        <v>180</v>
      </c>
      <c r="C319" s="4" t="s">
        <v>11</v>
      </c>
      <c r="D319" s="4">
        <v>531.15</v>
      </c>
      <c r="E319" s="4" t="s">
        <v>840</v>
      </c>
      <c r="F319" s="5" t="str">
        <f>_xlfn.DISPIMG("ID_2D2797A10ABC40069F9D1F2DFBEDF6AE",1)</f>
        <v>=DISPIMG("ID_2D2797A10ABC40069F9D1F2DFBEDF6AE",1)</v>
      </c>
      <c r="G319" s="6" t="s">
        <v>181</v>
      </c>
      <c r="H319" s="4" t="s">
        <v>482</v>
      </c>
      <c r="I319" s="4" t="s">
        <v>482</v>
      </c>
    </row>
    <row r="320" ht="140.1" spans="1:9">
      <c r="A320" s="3">
        <v>319</v>
      </c>
      <c r="B320" s="4" t="s">
        <v>608</v>
      </c>
      <c r="C320" s="4" t="s">
        <v>11</v>
      </c>
      <c r="D320" s="4">
        <v>59.9</v>
      </c>
      <c r="E320" s="4" t="s">
        <v>840</v>
      </c>
      <c r="F320" s="5" t="str">
        <f>_xlfn.DISPIMG("ID_9475312890684273BB38E4BB9FA0F5CA",1)</f>
        <v>=DISPIMG("ID_9475312890684273BB38E4BB9FA0F5CA",1)</v>
      </c>
      <c r="G320" s="6" t="s">
        <v>609</v>
      </c>
      <c r="H320" s="4" t="s">
        <v>482</v>
      </c>
      <c r="I320" s="4" t="s">
        <v>482</v>
      </c>
    </row>
    <row r="321" ht="121" customHeight="1" spans="1:9">
      <c r="A321" s="3">
        <v>320</v>
      </c>
      <c r="B321" s="4" t="s">
        <v>208</v>
      </c>
      <c r="C321" s="4" t="s">
        <v>11</v>
      </c>
      <c r="D321" s="4">
        <v>235.8</v>
      </c>
      <c r="E321" s="4" t="s">
        <v>840</v>
      </c>
      <c r="F321" s="5" t="str">
        <f>_xlfn.DISPIMG("ID_D1BCD96E135D4E738169ED74268ABBD9",1)</f>
        <v>=DISPIMG("ID_D1BCD96E135D4E738169ED74268ABBD9",1)</v>
      </c>
      <c r="G321" s="6" t="s">
        <v>209</v>
      </c>
      <c r="H321" s="4" t="s">
        <v>482</v>
      </c>
      <c r="I321" s="4" t="s">
        <v>482</v>
      </c>
    </row>
    <row r="322" ht="160" customHeight="1" spans="1:9">
      <c r="A322" s="3">
        <v>321</v>
      </c>
      <c r="B322" s="4" t="s">
        <v>230</v>
      </c>
      <c r="C322" s="4" t="s">
        <v>11</v>
      </c>
      <c r="D322" s="4">
        <v>8224.25</v>
      </c>
      <c r="E322" s="4" t="s">
        <v>840</v>
      </c>
      <c r="F322" s="4" t="str">
        <f>_xlfn.DISPIMG("ID_242F9087066B4B41B35C2C50334B5114",1)</f>
        <v>=DISPIMG("ID_242F9087066B4B41B35C2C50334B5114",1)</v>
      </c>
      <c r="G322" s="6" t="s">
        <v>231</v>
      </c>
      <c r="H322" s="4" t="s">
        <v>482</v>
      </c>
      <c r="I322" s="4" t="s">
        <v>482</v>
      </c>
    </row>
    <row r="323" ht="129.6" spans="1:9">
      <c r="A323" s="3">
        <v>322</v>
      </c>
      <c r="B323" s="4" t="s">
        <v>275</v>
      </c>
      <c r="C323" s="4" t="s">
        <v>11</v>
      </c>
      <c r="D323" s="4">
        <v>9018.3</v>
      </c>
      <c r="E323" s="4" t="s">
        <v>840</v>
      </c>
      <c r="F323" s="4" t="str">
        <f>_xlfn.DISPIMG("ID_14AC1ACD916A4D979D1247F0F01C69D3",1)</f>
        <v>=DISPIMG("ID_14AC1ACD916A4D979D1247F0F01C69D3",1)</v>
      </c>
      <c r="G323" s="6" t="s">
        <v>276</v>
      </c>
      <c r="H323" s="4" t="s">
        <v>482</v>
      </c>
      <c r="I323" s="4" t="s">
        <v>482</v>
      </c>
    </row>
    <row r="324" ht="148.5" customHeight="1" spans="1:9">
      <c r="A324" s="3">
        <v>323</v>
      </c>
      <c r="B324" s="4" t="s">
        <v>612</v>
      </c>
      <c r="C324" s="4" t="s">
        <v>11</v>
      </c>
      <c r="D324" s="4">
        <v>114.05</v>
      </c>
      <c r="E324" s="4" t="s">
        <v>840</v>
      </c>
      <c r="F324" s="4" t="str">
        <f>_xlfn.DISPIMG("ID_9B46F401AE4D4156A79657C2FFD92F93",1)</f>
        <v>=DISPIMG("ID_9B46F401AE4D4156A79657C2FFD92F93",1)</v>
      </c>
      <c r="G324" s="6" t="s">
        <v>613</v>
      </c>
      <c r="H324" s="4" t="s">
        <v>482</v>
      </c>
      <c r="I324" s="4" t="s">
        <v>482</v>
      </c>
    </row>
    <row r="325" ht="162" customHeight="1" spans="1:9">
      <c r="A325" s="3">
        <v>324</v>
      </c>
      <c r="B325" s="4" t="s">
        <v>296</v>
      </c>
      <c r="C325" s="4" t="s">
        <v>11</v>
      </c>
      <c r="D325" s="4">
        <v>593.55</v>
      </c>
      <c r="E325" s="4" t="s">
        <v>840</v>
      </c>
      <c r="F325" s="4" t="str">
        <f>_xlfn.DISPIMG("ID_45CC7638F71A4C5894EF5249E02B678F",1)</f>
        <v>=DISPIMG("ID_45CC7638F71A4C5894EF5249E02B678F",1)</v>
      </c>
      <c r="G325" s="6" t="s">
        <v>297</v>
      </c>
      <c r="H325" s="4" t="s">
        <v>482</v>
      </c>
      <c r="I325" s="4" t="s">
        <v>482</v>
      </c>
    </row>
    <row r="326" ht="106" customHeight="1" spans="1:9">
      <c r="A326" s="3">
        <v>325</v>
      </c>
      <c r="B326" s="4" t="s">
        <v>313</v>
      </c>
      <c r="C326" s="4" t="s">
        <v>11</v>
      </c>
      <c r="D326" s="4">
        <v>27.95</v>
      </c>
      <c r="E326" s="4" t="s">
        <v>840</v>
      </c>
      <c r="F326" s="4" t="str">
        <f>_xlfn.DISPIMG("ID_8107ADEAF5DD4490ABE20AD90B0F30CA",1)</f>
        <v>=DISPIMG("ID_8107ADEAF5DD4490ABE20AD90B0F30CA",1)</v>
      </c>
      <c r="G326" s="6" t="s">
        <v>314</v>
      </c>
      <c r="H326" s="4" t="s">
        <v>482</v>
      </c>
      <c r="I326" s="4" t="s">
        <v>315</v>
      </c>
    </row>
    <row r="327" ht="97" customHeight="1" spans="1:9">
      <c r="A327" s="3">
        <v>326</v>
      </c>
      <c r="B327" s="4" t="s">
        <v>599</v>
      </c>
      <c r="C327" s="4" t="s">
        <v>11</v>
      </c>
      <c r="D327" s="4">
        <v>184.25</v>
      </c>
      <c r="E327" s="4" t="s">
        <v>840</v>
      </c>
      <c r="F327" s="4" t="str">
        <f>_xlfn.DISPIMG("ID_FE72AD28B3464760BC9EC955DC512131",1)</f>
        <v>=DISPIMG("ID_FE72AD28B3464760BC9EC955DC512131",1)</v>
      </c>
      <c r="G327" s="6" t="s">
        <v>600</v>
      </c>
      <c r="H327" s="4" t="s">
        <v>482</v>
      </c>
      <c r="I327" s="4" t="s">
        <v>482</v>
      </c>
    </row>
    <row r="328" ht="117.55" spans="1:9">
      <c r="A328" s="3">
        <v>327</v>
      </c>
      <c r="B328" s="4" t="s">
        <v>606</v>
      </c>
      <c r="C328" s="4" t="s">
        <v>11</v>
      </c>
      <c r="D328" s="4">
        <v>93.1</v>
      </c>
      <c r="E328" s="4" t="s">
        <v>840</v>
      </c>
      <c r="F328" s="4" t="str">
        <f>_xlfn.DISPIMG("ID_AD3E3D531C4B438AAF065F846299BC37",1)</f>
        <v>=DISPIMG("ID_AD3E3D531C4B438AAF065F846299BC37",1)</v>
      </c>
      <c r="G328" s="6" t="s">
        <v>607</v>
      </c>
      <c r="H328" s="4" t="s">
        <v>482</v>
      </c>
      <c r="I328" s="4" t="s">
        <v>482</v>
      </c>
    </row>
    <row r="329" ht="110.75" spans="1:9">
      <c r="A329" s="3">
        <v>328</v>
      </c>
      <c r="B329" s="4" t="s">
        <v>371</v>
      </c>
      <c r="C329" s="4" t="s">
        <v>11</v>
      </c>
      <c r="D329" s="4">
        <v>992.7</v>
      </c>
      <c r="E329" s="4" t="s">
        <v>840</v>
      </c>
      <c r="F329" s="4" t="str">
        <f>_xlfn.DISPIMG("ID_28CF33FDA445473DA931B09BF2CB8EDF",1)</f>
        <v>=DISPIMG("ID_28CF33FDA445473DA931B09BF2CB8EDF",1)</v>
      </c>
      <c r="G329" s="6" t="s">
        <v>276</v>
      </c>
      <c r="H329" s="4" t="s">
        <v>482</v>
      </c>
      <c r="I329" s="4" t="s">
        <v>482</v>
      </c>
    </row>
    <row r="330" ht="125.05" spans="1:9">
      <c r="A330" s="3">
        <v>329</v>
      </c>
      <c r="B330" s="4" t="s">
        <v>841</v>
      </c>
      <c r="C330" s="4" t="s">
        <v>11</v>
      </c>
      <c r="D330" s="4">
        <v>10183.7</v>
      </c>
      <c r="E330" s="4" t="s">
        <v>840</v>
      </c>
      <c r="F330" s="4" t="str">
        <f>_xlfn.DISPIMG("ID_04C6AC58D5F2456A9E5F4F03168CEEE1",1)</f>
        <v>=DISPIMG("ID_04C6AC58D5F2456A9E5F4F03168CEEE1",1)</v>
      </c>
      <c r="G330" s="6" t="s">
        <v>181</v>
      </c>
      <c r="H330" s="4" t="s">
        <v>482</v>
      </c>
      <c r="I330" s="4" t="s">
        <v>482</v>
      </c>
    </row>
    <row r="331" ht="115" spans="1:9">
      <c r="A331" s="3">
        <v>330</v>
      </c>
      <c r="B331" s="4" t="s">
        <v>532</v>
      </c>
      <c r="C331" s="4" t="s">
        <v>11</v>
      </c>
      <c r="D331" s="4">
        <v>19.9</v>
      </c>
      <c r="E331" s="4" t="s">
        <v>842</v>
      </c>
      <c r="F331" s="4" t="str">
        <f>_xlfn.DISPIMG("ID_83ED87306BD8475ABA416118900ADFAA",1)</f>
        <v>=DISPIMG("ID_83ED87306BD8475ABA416118900ADFAA",1)</v>
      </c>
      <c r="G331" s="6" t="s">
        <v>533</v>
      </c>
      <c r="H331" s="4" t="s">
        <v>482</v>
      </c>
      <c r="I331" s="4" t="s">
        <v>482</v>
      </c>
    </row>
    <row r="332" ht="129.85" spans="1:9">
      <c r="A332" s="3">
        <v>331</v>
      </c>
      <c r="B332" s="4" t="s">
        <v>843</v>
      </c>
      <c r="C332" s="4" t="s">
        <v>11</v>
      </c>
      <c r="D332" s="4">
        <v>212</v>
      </c>
      <c r="E332" s="4" t="s">
        <v>842</v>
      </c>
      <c r="F332" s="4" t="str">
        <f>_xlfn.DISPIMG("ID_81AC644B46E944AF9357ACF4795EBF8C",1)</f>
        <v>=DISPIMG("ID_81AC644B46E944AF9357ACF4795EBF8C",1)</v>
      </c>
      <c r="G332" s="6" t="s">
        <v>150</v>
      </c>
      <c r="H332" s="4" t="s">
        <v>482</v>
      </c>
      <c r="I332" s="4" t="s">
        <v>482</v>
      </c>
    </row>
    <row r="333" ht="112.45" spans="1:9">
      <c r="A333" s="3">
        <v>332</v>
      </c>
      <c r="B333" s="4" t="s">
        <v>428</v>
      </c>
      <c r="C333" s="4" t="s">
        <v>429</v>
      </c>
      <c r="D333" s="4">
        <v>2135</v>
      </c>
      <c r="E333" s="4" t="s">
        <v>842</v>
      </c>
      <c r="F333" s="4" t="str">
        <f>_xlfn.DISPIMG("ID_4040C1BA4AE04776BC345D6827893F6D",1)</f>
        <v>=DISPIMG("ID_4040C1BA4AE04776BC345D6827893F6D",1)</v>
      </c>
      <c r="G333" s="6" t="s">
        <v>430</v>
      </c>
      <c r="H333" s="4" t="s">
        <v>482</v>
      </c>
      <c r="I333" s="4" t="s">
        <v>482</v>
      </c>
    </row>
    <row r="334" ht="94.5" spans="1:9">
      <c r="A334" s="3">
        <v>333</v>
      </c>
      <c r="B334" s="4" t="s">
        <v>132</v>
      </c>
      <c r="C334" s="4" t="s">
        <v>11</v>
      </c>
      <c r="D334" s="4">
        <v>50</v>
      </c>
      <c r="E334" s="4" t="s">
        <v>842</v>
      </c>
      <c r="F334" s="15" t="str">
        <f>_xlfn.DISPIMG("ID_5D83163812C340D6A8224AE2AEFF339E",1)</f>
        <v>=DISPIMG("ID_5D83163812C340D6A8224AE2AEFF339E",1)</v>
      </c>
      <c r="G334" s="6" t="s">
        <v>133</v>
      </c>
      <c r="H334" s="4" t="s">
        <v>482</v>
      </c>
      <c r="I334" s="4" t="s">
        <v>482</v>
      </c>
    </row>
    <row r="335" ht="112.45" spans="1:9">
      <c r="A335" s="3">
        <v>334</v>
      </c>
      <c r="B335" s="4" t="s">
        <v>744</v>
      </c>
      <c r="C335" s="4" t="s">
        <v>429</v>
      </c>
      <c r="D335" s="4">
        <v>392</v>
      </c>
      <c r="E335" s="4" t="s">
        <v>842</v>
      </c>
      <c r="F335" s="4" t="str">
        <f>_xlfn.DISPIMG("ID_E4DEF45B89044F75B2BC4A0093C6518A",1)</f>
        <v>=DISPIMG("ID_E4DEF45B89044F75B2BC4A0093C6518A",1)</v>
      </c>
      <c r="G335" s="6" t="s">
        <v>745</v>
      </c>
      <c r="H335" s="4" t="s">
        <v>746</v>
      </c>
      <c r="I335" s="4" t="s">
        <v>482</v>
      </c>
    </row>
    <row r="336" ht="135" spans="1:9">
      <c r="A336" s="3">
        <v>335</v>
      </c>
      <c r="B336" s="4" t="s">
        <v>439</v>
      </c>
      <c r="C336" s="4" t="s">
        <v>429</v>
      </c>
      <c r="D336" s="4">
        <v>84</v>
      </c>
      <c r="E336" s="4" t="s">
        <v>842</v>
      </c>
      <c r="F336" s="4" t="str">
        <f>_xlfn.DISPIMG("ID_FD9BF6A8475E4DB3929C1857F7D912A6",1)</f>
        <v>=DISPIMG("ID_FD9BF6A8475E4DB3929C1857F7D912A6",1)</v>
      </c>
      <c r="G336" s="6" t="s">
        <v>440</v>
      </c>
      <c r="H336" s="4" t="s">
        <v>747</v>
      </c>
      <c r="I336" s="4" t="s">
        <v>482</v>
      </c>
    </row>
    <row r="337" ht="96" spans="1:9">
      <c r="A337" s="3">
        <v>336</v>
      </c>
      <c r="B337" s="4" t="s">
        <v>247</v>
      </c>
      <c r="C337" s="4" t="s">
        <v>11</v>
      </c>
      <c r="D337" s="4">
        <v>1110.5</v>
      </c>
      <c r="E337" s="4" t="s">
        <v>842</v>
      </c>
      <c r="F337" s="4" t="str">
        <f>_xlfn.DISPIMG("ID_67242833A3014352A14AC2AEF519C8FB",1)</f>
        <v>=DISPIMG("ID_67242833A3014352A14AC2AEF519C8FB",1)</v>
      </c>
      <c r="G337" s="6" t="s">
        <v>248</v>
      </c>
      <c r="H337" s="4" t="s">
        <v>482</v>
      </c>
      <c r="I337" s="4" t="s">
        <v>482</v>
      </c>
    </row>
    <row r="338" ht="142.55" spans="1:9">
      <c r="A338" s="3">
        <v>337</v>
      </c>
      <c r="B338" s="4" t="s">
        <v>438</v>
      </c>
      <c r="C338" s="4" t="s">
        <v>160</v>
      </c>
      <c r="D338" s="4">
        <v>68</v>
      </c>
      <c r="E338" s="4" t="s">
        <v>842</v>
      </c>
      <c r="F338" s="4" t="str">
        <f>_xlfn.DISPIMG("ID_2553C657CA8A42539C3E262C9F763412",1)</f>
        <v>=DISPIMG("ID_2553C657CA8A42539C3E262C9F763412",1)</v>
      </c>
      <c r="G338" s="6" t="s">
        <v>432</v>
      </c>
      <c r="H338" s="4" t="s">
        <v>482</v>
      </c>
      <c r="I338" s="4" t="s">
        <v>482</v>
      </c>
    </row>
    <row r="339" ht="162.4" spans="1:9">
      <c r="A339" s="3">
        <v>338</v>
      </c>
      <c r="B339" s="4" t="s">
        <v>431</v>
      </c>
      <c r="C339" s="4" t="s">
        <v>429</v>
      </c>
      <c r="D339" s="4">
        <v>20</v>
      </c>
      <c r="E339" s="4" t="s">
        <v>842</v>
      </c>
      <c r="F339" s="15" t="str">
        <f>_xlfn.DISPIMG("ID_BBDB10B0BB1D4F5789A51A245827DBBC",1)</f>
        <v>=DISPIMG("ID_BBDB10B0BB1D4F5789A51A245827DBBC",1)</v>
      </c>
      <c r="G339" s="6" t="s">
        <v>432</v>
      </c>
      <c r="H339" s="4" t="s">
        <v>482</v>
      </c>
      <c r="I339" s="4" t="s">
        <v>482</v>
      </c>
    </row>
    <row r="340" ht="89.9" spans="1:9">
      <c r="A340" s="3">
        <v>339</v>
      </c>
      <c r="B340" s="4" t="s">
        <v>579</v>
      </c>
      <c r="C340" s="4" t="s">
        <v>11</v>
      </c>
      <c r="D340" s="4">
        <v>1029.35</v>
      </c>
      <c r="E340" s="4" t="s">
        <v>842</v>
      </c>
      <c r="F340" s="4" t="str">
        <f>_xlfn.DISPIMG("ID_FADC0FD1F6A14D4685EFF15482A025FC",1)</f>
        <v>=DISPIMG("ID_FADC0FD1F6A14D4685EFF15482A025FC",1)</v>
      </c>
      <c r="G340" s="6" t="s">
        <v>580</v>
      </c>
      <c r="H340" s="4" t="s">
        <v>482</v>
      </c>
      <c r="I340" s="4" t="s">
        <v>482</v>
      </c>
    </row>
    <row r="341" ht="174.95" spans="1:9">
      <c r="A341" s="3">
        <v>340</v>
      </c>
      <c r="B341" s="4" t="s">
        <v>844</v>
      </c>
      <c r="C341" s="4" t="s">
        <v>11</v>
      </c>
      <c r="D341" s="4">
        <v>488.85</v>
      </c>
      <c r="E341" s="4" t="s">
        <v>842</v>
      </c>
      <c r="F341" s="4" t="str">
        <f>_xlfn.DISPIMG("ID_33C43E93432543D58F66B3178E500272",1)</f>
        <v>=DISPIMG("ID_33C43E93432543D58F66B3178E500272",1)</v>
      </c>
      <c r="G341" s="6" t="s">
        <v>596</v>
      </c>
      <c r="H341" s="4" t="s">
        <v>482</v>
      </c>
      <c r="I341" s="4" t="s">
        <v>482</v>
      </c>
    </row>
    <row r="342" ht="111.95" spans="1:9">
      <c r="A342" s="3">
        <v>341</v>
      </c>
      <c r="B342" s="4" t="s">
        <v>437</v>
      </c>
      <c r="C342" s="4" t="s">
        <v>11</v>
      </c>
      <c r="D342" s="4">
        <v>20</v>
      </c>
      <c r="E342" s="4" t="s">
        <v>842</v>
      </c>
      <c r="F342" s="16" t="str">
        <f>_xlfn.DISPIMG("ID_BC37348EA6BB4A7BBC1EC26DDFCE74A0",1)</f>
        <v>=DISPIMG("ID_BC37348EA6BB4A7BBC1EC26DDFCE74A0",1)</v>
      </c>
      <c r="G342" s="6" t="s">
        <v>430</v>
      </c>
      <c r="H342" s="4" t="s">
        <v>482</v>
      </c>
      <c r="I342" s="4" t="s">
        <v>482</v>
      </c>
    </row>
    <row r="343" ht="151.2" spans="1:9">
      <c r="A343" s="3">
        <v>342</v>
      </c>
      <c r="B343" s="4" t="s">
        <v>845</v>
      </c>
      <c r="C343" s="4" t="s">
        <v>11</v>
      </c>
      <c r="D343" s="4">
        <v>1</v>
      </c>
      <c r="E343" s="4" t="s">
        <v>842</v>
      </c>
      <c r="F343" s="4" t="str">
        <f>_xlfn.DISPIMG("ID_D39559C3777E486799477120A00EDA58",1)</f>
        <v>=DISPIMG("ID_D39559C3777E486799477120A00EDA58",1)</v>
      </c>
      <c r="G343" s="6" t="s">
        <v>639</v>
      </c>
      <c r="H343" s="4" t="s">
        <v>482</v>
      </c>
      <c r="I343" s="4" t="s">
        <v>482</v>
      </c>
    </row>
    <row r="344" ht="141.75" spans="1:9">
      <c r="A344" s="3">
        <v>343</v>
      </c>
      <c r="B344" s="4" t="s">
        <v>846</v>
      </c>
      <c r="C344" s="4" t="s">
        <v>11</v>
      </c>
      <c r="D344" s="4">
        <v>1</v>
      </c>
      <c r="E344" s="4" t="s">
        <v>842</v>
      </c>
      <c r="F344" s="4" t="str">
        <f>_xlfn.DISPIMG("ID_4F178E1B685748DFBB6BC23B0D8A79CD",1)</f>
        <v>=DISPIMG("ID_4F178E1B685748DFBB6BC23B0D8A79CD",1)</v>
      </c>
      <c r="G344" s="6" t="s">
        <v>847</v>
      </c>
      <c r="H344" s="4" t="s">
        <v>482</v>
      </c>
      <c r="I344" s="4" t="s">
        <v>482</v>
      </c>
    </row>
    <row r="345" ht="80.85" spans="1:9">
      <c r="A345" s="3">
        <v>344</v>
      </c>
      <c r="B345" s="4" t="s">
        <v>347</v>
      </c>
      <c r="C345" s="4" t="s">
        <v>11</v>
      </c>
      <c r="D345" s="4">
        <v>5526.7</v>
      </c>
      <c r="E345" s="4" t="s">
        <v>842</v>
      </c>
      <c r="F345" s="4" t="str">
        <f>_xlfn.DISPIMG("ID_CF88DEA2322C48EDBD9053D09D59098A",1)</f>
        <v>=DISPIMG("ID_CF88DEA2322C48EDBD9053D09D59098A",1)</v>
      </c>
      <c r="G345" s="6" t="s">
        <v>348</v>
      </c>
      <c r="H345" s="4" t="s">
        <v>482</v>
      </c>
      <c r="I345" s="4" t="s">
        <v>482</v>
      </c>
    </row>
    <row r="346" ht="152.1" spans="1:9">
      <c r="A346" s="3">
        <v>345</v>
      </c>
      <c r="B346" s="4" t="s">
        <v>848</v>
      </c>
      <c r="C346" s="4" t="s">
        <v>11</v>
      </c>
      <c r="D346" s="4">
        <v>213.9</v>
      </c>
      <c r="E346" s="4" t="s">
        <v>842</v>
      </c>
      <c r="F346" s="4" t="str">
        <f>_xlfn.DISPIMG("ID_9034E0B1F3834AB89423317FED66A0D4",1)</f>
        <v>=DISPIMG("ID_9034E0B1F3834AB89423317FED66A0D4",1)</v>
      </c>
      <c r="G346" s="6" t="s">
        <v>352</v>
      </c>
      <c r="H346" s="4" t="s">
        <v>482</v>
      </c>
      <c r="I346" s="4" t="s">
        <v>482</v>
      </c>
    </row>
    <row r="347" ht="139.35" spans="1:9">
      <c r="A347" s="3">
        <v>346</v>
      </c>
      <c r="B347" s="4" t="s">
        <v>353</v>
      </c>
      <c r="C347" s="4" t="s">
        <v>11</v>
      </c>
      <c r="D347" s="4">
        <v>15.55</v>
      </c>
      <c r="E347" s="4" t="s">
        <v>842</v>
      </c>
      <c r="F347" s="4" t="str">
        <f>_xlfn.DISPIMG("ID_4A5363346002418D92147FEE70AA4046",1)</f>
        <v>=DISPIMG("ID_4A5363346002418D92147FEE70AA4046",1)</v>
      </c>
      <c r="G347" s="6" t="s">
        <v>354</v>
      </c>
      <c r="H347" s="4" t="s">
        <v>482</v>
      </c>
      <c r="I347" s="4" t="s">
        <v>482</v>
      </c>
    </row>
    <row r="348" ht="112.8" spans="1:9">
      <c r="A348" s="3">
        <v>347</v>
      </c>
      <c r="B348" s="7" t="s">
        <v>433</v>
      </c>
      <c r="C348" s="7" t="s">
        <v>11</v>
      </c>
      <c r="D348" s="7">
        <v>1</v>
      </c>
      <c r="E348" s="4" t="s">
        <v>842</v>
      </c>
      <c r="F348" s="16" t="str">
        <f>_xlfn.DISPIMG("ID_2CFE218CAA6D450484BF0365F2B4053B",1)</f>
        <v>=DISPIMG("ID_2CFE218CAA6D450484BF0365F2B4053B",1)</v>
      </c>
      <c r="G348" s="9" t="s">
        <v>434</v>
      </c>
      <c r="H348" s="7" t="s">
        <v>482</v>
      </c>
      <c r="I348" s="7" t="s">
        <v>482</v>
      </c>
    </row>
    <row r="349" ht="112.75" customHeight="1" spans="1:9">
      <c r="A349" s="3">
        <v>348</v>
      </c>
      <c r="B349" s="4" t="s">
        <v>849</v>
      </c>
      <c r="C349" s="4" t="s">
        <v>11</v>
      </c>
      <c r="D349" s="4">
        <v>1</v>
      </c>
      <c r="E349" s="4" t="s">
        <v>752</v>
      </c>
      <c r="F349" s="4" t="str">
        <f>_xlfn.DISPIMG("ID_E2F42A20E3C14C2B9E399E7BC5105CBC",1)</f>
        <v>=DISPIMG("ID_E2F42A20E3C14C2B9E399E7BC5105CBC",1)</v>
      </c>
      <c r="G349" s="6" t="s">
        <v>850</v>
      </c>
      <c r="H349" s="7" t="s">
        <v>482</v>
      </c>
      <c r="I349" s="7" t="s">
        <v>482</v>
      </c>
    </row>
    <row r="350" ht="112.75" customHeight="1" spans="1:9">
      <c r="A350" s="3">
        <v>349</v>
      </c>
      <c r="B350" s="4" t="s">
        <v>851</v>
      </c>
      <c r="C350" s="4" t="s">
        <v>11</v>
      </c>
      <c r="D350" s="4">
        <v>1</v>
      </c>
      <c r="E350" s="4" t="s">
        <v>761</v>
      </c>
      <c r="F350" s="4" t="str">
        <f>_xlfn.DISPIMG("ID_9232C50C5F514A50866FC3C0E552E177",1)</f>
        <v>=DISPIMG("ID_9232C50C5F514A50866FC3C0E552E177",1)</v>
      </c>
      <c r="G350" s="6" t="s">
        <v>852</v>
      </c>
      <c r="H350" s="7" t="s">
        <v>482</v>
      </c>
      <c r="I350" s="7" t="s">
        <v>482</v>
      </c>
    </row>
    <row r="351" ht="112.75" customHeight="1" spans="1:9">
      <c r="A351" s="3">
        <v>350</v>
      </c>
      <c r="B351" s="4" t="s">
        <v>853</v>
      </c>
      <c r="C351" s="4" t="s">
        <v>11</v>
      </c>
      <c r="D351" s="4">
        <v>1</v>
      </c>
      <c r="E351" s="4" t="s">
        <v>779</v>
      </c>
      <c r="F351" s="4" t="str">
        <f>_xlfn.DISPIMG("ID_3EE9197A87C0408E9161705D7B5FBB43",1)</f>
        <v>=DISPIMG("ID_3EE9197A87C0408E9161705D7B5FBB43",1)</v>
      </c>
      <c r="G351" s="6" t="s">
        <v>854</v>
      </c>
      <c r="H351" s="7" t="s">
        <v>482</v>
      </c>
      <c r="I351" s="7" t="s">
        <v>482</v>
      </c>
    </row>
    <row r="352" ht="112.75" customHeight="1" spans="1:9">
      <c r="A352" s="3">
        <v>351</v>
      </c>
      <c r="B352" s="4" t="s">
        <v>855</v>
      </c>
      <c r="C352" s="4" t="s">
        <v>11</v>
      </c>
      <c r="D352" s="4">
        <v>1</v>
      </c>
      <c r="E352" s="4" t="s">
        <v>761</v>
      </c>
      <c r="F352" s="4" t="str">
        <f>_xlfn.DISPIMG("ID_9CE2615B341D4D24984F88075C40BC8B",1)</f>
        <v>=DISPIMG("ID_9CE2615B341D4D24984F88075C40BC8B",1)</v>
      </c>
      <c r="G352" s="6" t="s">
        <v>856</v>
      </c>
      <c r="H352" s="7" t="s">
        <v>482</v>
      </c>
      <c r="I352" s="7" t="s">
        <v>482</v>
      </c>
    </row>
    <row r="353" ht="112.75" customHeight="1" spans="1:9">
      <c r="A353" s="3">
        <v>352</v>
      </c>
      <c r="B353" s="17" t="s">
        <v>857</v>
      </c>
      <c r="C353" s="17" t="s">
        <v>11</v>
      </c>
      <c r="D353" s="17">
        <v>1</v>
      </c>
      <c r="E353" s="17" t="s">
        <v>761</v>
      </c>
      <c r="F353" s="17" t="str">
        <f>_xlfn.DISPIMG("ID_B40641AE0D8148F1A042044ED2C8E295",1)</f>
        <v>=DISPIMG("ID_B40641AE0D8148F1A042044ED2C8E295",1)</v>
      </c>
      <c r="G353" s="18" t="s">
        <v>858</v>
      </c>
      <c r="H353" s="19" t="s">
        <v>482</v>
      </c>
      <c r="I353" s="19" t="s">
        <v>482</v>
      </c>
    </row>
    <row r="354" ht="29" customHeight="1" spans="1:9">
      <c r="A354" s="3"/>
      <c r="B354" s="20" t="s">
        <v>748</v>
      </c>
      <c r="C354" s="20" t="s">
        <v>2</v>
      </c>
      <c r="D354" s="20" t="s">
        <v>859</v>
      </c>
      <c r="E354" s="20" t="s">
        <v>7</v>
      </c>
      <c r="F354" s="20" t="s">
        <v>6</v>
      </c>
      <c r="G354" s="20" t="s">
        <v>860</v>
      </c>
      <c r="H354" s="20" t="s">
        <v>861</v>
      </c>
      <c r="I354" s="20" t="s">
        <v>9</v>
      </c>
    </row>
    <row r="355" ht="117" customHeight="1" spans="1:9">
      <c r="A355" s="3">
        <v>353</v>
      </c>
      <c r="B355" s="4" t="s">
        <v>862</v>
      </c>
      <c r="C355" s="4" t="s">
        <v>116</v>
      </c>
      <c r="D355" s="4">
        <v>2352</v>
      </c>
      <c r="E355" s="4" t="s">
        <v>863</v>
      </c>
      <c r="F355" s="4" t="str">
        <f>_xlfn.DISPIMG("ID_12F0C3297EC948DA82D223E80F7ACC43",1)</f>
        <v>=DISPIMG("ID_12F0C3297EC948DA82D223E80F7ACC43",1)</v>
      </c>
      <c r="G355" s="4" t="s">
        <v>864</v>
      </c>
      <c r="H355" s="4" t="s">
        <v>865</v>
      </c>
      <c r="I355" s="4" t="s">
        <v>482</v>
      </c>
    </row>
    <row r="356" ht="117" customHeight="1" spans="1:9">
      <c r="A356" s="3">
        <v>354</v>
      </c>
      <c r="B356" s="4" t="s">
        <v>866</v>
      </c>
      <c r="C356" s="4" t="s">
        <v>116</v>
      </c>
      <c r="D356" s="4">
        <v>7</v>
      </c>
      <c r="E356" s="4" t="s">
        <v>863</v>
      </c>
      <c r="F356" s="4" t="str">
        <f>_xlfn.DISPIMG("ID_5743B55EA63C46A79BE4798987953B0E",1)</f>
        <v>=DISPIMG("ID_5743B55EA63C46A79BE4798987953B0E",1)</v>
      </c>
      <c r="G356" s="4" t="s">
        <v>864</v>
      </c>
      <c r="H356" s="4" t="s">
        <v>867</v>
      </c>
      <c r="I356" s="4" t="s">
        <v>482</v>
      </c>
    </row>
    <row r="357" ht="117" customHeight="1" spans="1:9">
      <c r="A357" s="3">
        <v>355</v>
      </c>
      <c r="B357" s="4" t="s">
        <v>868</v>
      </c>
      <c r="C357" s="4" t="s">
        <v>160</v>
      </c>
      <c r="D357" s="4">
        <v>271</v>
      </c>
      <c r="E357" s="4" t="s">
        <v>863</v>
      </c>
      <c r="F357" s="4" t="str">
        <f>_xlfn.DISPIMG("ID_F29ADD961CA941F79613E22950A71A39",1)</f>
        <v>=DISPIMG("ID_F29ADD961CA941F79613E22950A71A39",1)</v>
      </c>
      <c r="G357" s="4" t="s">
        <v>864</v>
      </c>
      <c r="H357" s="4" t="s">
        <v>869</v>
      </c>
      <c r="I357" s="4" t="s">
        <v>482</v>
      </c>
    </row>
    <row r="358" ht="117" customHeight="1" spans="1:9">
      <c r="A358" s="3">
        <v>356</v>
      </c>
      <c r="B358" s="4" t="s">
        <v>870</v>
      </c>
      <c r="C358" s="4" t="s">
        <v>160</v>
      </c>
      <c r="D358" s="4">
        <v>3</v>
      </c>
      <c r="E358" s="4" t="s">
        <v>863</v>
      </c>
      <c r="F358" s="4" t="str">
        <f>_xlfn.DISPIMG("ID_428D98764E9B493BAF78894DA18420A2",1)</f>
        <v>=DISPIMG("ID_428D98764E9B493BAF78894DA18420A2",1)</v>
      </c>
      <c r="G358" s="4" t="s">
        <v>864</v>
      </c>
      <c r="H358" s="4" t="s">
        <v>871</v>
      </c>
      <c r="I358" s="4" t="s">
        <v>482</v>
      </c>
    </row>
    <row r="359" ht="117" customHeight="1" spans="1:9">
      <c r="A359" s="3">
        <v>357</v>
      </c>
      <c r="B359" s="4" t="s">
        <v>872</v>
      </c>
      <c r="C359" s="4" t="s">
        <v>160</v>
      </c>
      <c r="D359" s="4">
        <v>1048</v>
      </c>
      <c r="E359" s="4" t="s">
        <v>863</v>
      </c>
      <c r="F359" s="4" t="str">
        <f>_xlfn.DISPIMG("ID_39DDC29536DB47B1BF4D306A29C16589",1)</f>
        <v>=DISPIMG("ID_39DDC29536DB47B1BF4D306A29C16589",1)</v>
      </c>
      <c r="G359" s="4" t="s">
        <v>864</v>
      </c>
      <c r="H359" s="4" t="s">
        <v>873</v>
      </c>
      <c r="I359" s="4" t="s">
        <v>482</v>
      </c>
    </row>
    <row r="360" ht="117" customHeight="1" spans="1:9">
      <c r="A360" s="3">
        <v>358</v>
      </c>
      <c r="B360" s="4" t="s">
        <v>874</v>
      </c>
      <c r="C360" s="4" t="s">
        <v>116</v>
      </c>
      <c r="D360" s="4">
        <v>318</v>
      </c>
      <c r="E360" s="4" t="s">
        <v>863</v>
      </c>
      <c r="F360" s="4" t="str">
        <f>_xlfn.DISPIMG("ID_6FB6228551CD4484861657176FCC865C",1)</f>
        <v>=DISPIMG("ID_6FB6228551CD4484861657176FCC865C",1)</v>
      </c>
      <c r="G360" s="4" t="s">
        <v>864</v>
      </c>
      <c r="H360" s="4" t="s">
        <v>865</v>
      </c>
      <c r="I360" s="4" t="s">
        <v>482</v>
      </c>
    </row>
    <row r="361" ht="117" customHeight="1" spans="1:9">
      <c r="A361" s="3">
        <v>359</v>
      </c>
      <c r="B361" s="4" t="s">
        <v>875</v>
      </c>
      <c r="C361" s="4" t="s">
        <v>116</v>
      </c>
      <c r="D361" s="4">
        <v>17</v>
      </c>
      <c r="E361" s="4" t="s">
        <v>863</v>
      </c>
      <c r="F361" s="4" t="str">
        <f>_xlfn.DISPIMG("ID_585DF89E8DA9479DA3095BA8CBB32F09",1)</f>
        <v>=DISPIMG("ID_585DF89E8DA9479DA3095BA8CBB32F09",1)</v>
      </c>
      <c r="G361" s="4" t="s">
        <v>864</v>
      </c>
      <c r="H361" s="4" t="s">
        <v>865</v>
      </c>
      <c r="I361" s="4" t="s">
        <v>482</v>
      </c>
    </row>
    <row r="362" ht="117" customHeight="1" spans="1:9">
      <c r="A362" s="3">
        <v>360</v>
      </c>
      <c r="B362" s="4" t="s">
        <v>876</v>
      </c>
      <c r="C362" s="4" t="s">
        <v>116</v>
      </c>
      <c r="D362" s="4">
        <v>3481</v>
      </c>
      <c r="E362" s="4" t="s">
        <v>863</v>
      </c>
      <c r="F362" s="4" t="str">
        <f>_xlfn.DISPIMG("ID_767498BDE2C94AEAA41D3C5B425C4FAD",1)</f>
        <v>=DISPIMG("ID_767498BDE2C94AEAA41D3C5B425C4FAD",1)</v>
      </c>
      <c r="G362" s="4" t="s">
        <v>864</v>
      </c>
      <c r="H362" s="4" t="s">
        <v>865</v>
      </c>
      <c r="I362" s="4" t="s">
        <v>482</v>
      </c>
    </row>
    <row r="363" ht="117" customHeight="1" spans="1:9">
      <c r="A363" s="3">
        <v>361</v>
      </c>
      <c r="B363" s="4" t="s">
        <v>877</v>
      </c>
      <c r="C363" s="4" t="s">
        <v>116</v>
      </c>
      <c r="D363" s="4">
        <v>189</v>
      </c>
      <c r="E363" s="4" t="s">
        <v>863</v>
      </c>
      <c r="F363" s="4" t="str">
        <f>_xlfn.DISPIMG("ID_F192EA2F946A47529F10E74876C59315",1)</f>
        <v>=DISPIMG("ID_F192EA2F946A47529F10E74876C59315",1)</v>
      </c>
      <c r="G363" s="4" t="s">
        <v>864</v>
      </c>
      <c r="H363" s="4" t="s">
        <v>878</v>
      </c>
      <c r="I363" s="4" t="s">
        <v>482</v>
      </c>
    </row>
    <row r="364" ht="117" customHeight="1" spans="1:9">
      <c r="A364" s="3">
        <v>362</v>
      </c>
      <c r="B364" s="4" t="s">
        <v>879</v>
      </c>
      <c r="C364" s="4" t="s">
        <v>756</v>
      </c>
      <c r="D364" s="4">
        <v>1405</v>
      </c>
      <c r="E364" s="4" t="s">
        <v>863</v>
      </c>
      <c r="F364" s="4" t="str">
        <f>_xlfn.DISPIMG("ID_AE16426B66AF4D1D993B3032D0289363",1)</f>
        <v>=DISPIMG("ID_AE16426B66AF4D1D993B3032D0289363",1)</v>
      </c>
      <c r="G364" s="4" t="s">
        <v>864</v>
      </c>
      <c r="H364" s="4" t="s">
        <v>880</v>
      </c>
      <c r="I364" s="4" t="s">
        <v>482</v>
      </c>
    </row>
    <row r="365" ht="117" customHeight="1" spans="1:9">
      <c r="A365" s="3">
        <v>363</v>
      </c>
      <c r="B365" s="4" t="s">
        <v>881</v>
      </c>
      <c r="C365" s="4" t="s">
        <v>116</v>
      </c>
      <c r="D365" s="4">
        <v>213</v>
      </c>
      <c r="E365" s="4" t="s">
        <v>863</v>
      </c>
      <c r="F365" s="4" t="str">
        <f>_xlfn.DISPIMG("ID_DE34CA74331B4A81951C59BE84367BD4",1)</f>
        <v>=DISPIMG("ID_DE34CA74331B4A81951C59BE84367BD4",1)</v>
      </c>
      <c r="G365" s="4" t="s">
        <v>864</v>
      </c>
      <c r="H365" s="4" t="s">
        <v>865</v>
      </c>
      <c r="I365" s="4" t="s">
        <v>482</v>
      </c>
    </row>
    <row r="366" ht="117" customHeight="1" spans="1:9">
      <c r="A366" s="3">
        <v>364</v>
      </c>
      <c r="B366" s="4" t="s">
        <v>882</v>
      </c>
      <c r="C366" s="4" t="s">
        <v>116</v>
      </c>
      <c r="D366" s="4">
        <v>57</v>
      </c>
      <c r="E366" s="4" t="s">
        <v>863</v>
      </c>
      <c r="F366" s="4" t="str">
        <f>_xlfn.DISPIMG("ID_1E84A1CE68A14309848E58DF39A2CDF0",1)</f>
        <v>=DISPIMG("ID_1E84A1CE68A14309848E58DF39A2CDF0",1)</v>
      </c>
      <c r="G366" s="4" t="s">
        <v>864</v>
      </c>
      <c r="H366" s="4" t="s">
        <v>865</v>
      </c>
      <c r="I366" s="4" t="s">
        <v>482</v>
      </c>
    </row>
    <row r="367" ht="117" customHeight="1" spans="1:9">
      <c r="A367" s="3">
        <v>365</v>
      </c>
      <c r="B367" s="4" t="s">
        <v>883</v>
      </c>
      <c r="C367" s="4" t="s">
        <v>116</v>
      </c>
      <c r="D367" s="4">
        <v>2</v>
      </c>
      <c r="E367" s="4" t="s">
        <v>863</v>
      </c>
      <c r="F367" s="4" t="str">
        <f>_xlfn.DISPIMG("ID_E6EE5B3EF80949DA87856ADD9D7164AE",1)</f>
        <v>=DISPIMG("ID_E6EE5B3EF80949DA87856ADD9D7164AE",1)</v>
      </c>
      <c r="G367" s="4" t="s">
        <v>864</v>
      </c>
      <c r="H367" s="4" t="s">
        <v>884</v>
      </c>
      <c r="I367" s="4" t="s">
        <v>482</v>
      </c>
    </row>
    <row r="368" ht="117" customHeight="1" spans="1:9">
      <c r="A368" s="3">
        <v>366</v>
      </c>
      <c r="B368" s="4" t="s">
        <v>885</v>
      </c>
      <c r="C368" s="4" t="s">
        <v>116</v>
      </c>
      <c r="D368" s="4">
        <v>319</v>
      </c>
      <c r="E368" s="4" t="s">
        <v>863</v>
      </c>
      <c r="F368" s="4" t="str">
        <f>_xlfn.DISPIMG("ID_728A6259969C4961BE0F74E42B307D75",1)</f>
        <v>=DISPIMG("ID_728A6259969C4961BE0F74E42B307D75",1)</v>
      </c>
      <c r="G368" s="4" t="s">
        <v>864</v>
      </c>
      <c r="H368" s="4" t="s">
        <v>886</v>
      </c>
      <c r="I368" s="4" t="s">
        <v>482</v>
      </c>
    </row>
    <row r="369" ht="117" customHeight="1" spans="1:9">
      <c r="A369" s="3">
        <v>367</v>
      </c>
      <c r="B369" s="4" t="s">
        <v>887</v>
      </c>
      <c r="C369" s="4" t="s">
        <v>160</v>
      </c>
      <c r="D369" s="4">
        <v>608</v>
      </c>
      <c r="E369" s="4" t="s">
        <v>863</v>
      </c>
      <c r="F369" s="4" t="str">
        <f>_xlfn.DISPIMG("ID_BAAB9E3FDDAD4C4691CD35D7818132EB",1)</f>
        <v>=DISPIMG("ID_BAAB9E3FDDAD4C4691CD35D7818132EB",1)</v>
      </c>
      <c r="G369" s="4" t="s">
        <v>864</v>
      </c>
      <c r="H369" s="4" t="s">
        <v>888</v>
      </c>
      <c r="I369" s="4" t="s">
        <v>482</v>
      </c>
    </row>
    <row r="370" ht="117" customHeight="1" spans="1:9">
      <c r="A370" s="3">
        <v>368</v>
      </c>
      <c r="B370" s="4" t="s">
        <v>889</v>
      </c>
      <c r="C370" s="4" t="s">
        <v>116</v>
      </c>
      <c r="D370" s="4">
        <v>1011</v>
      </c>
      <c r="E370" s="4" t="s">
        <v>863</v>
      </c>
      <c r="F370" s="4" t="str">
        <f>_xlfn.DISPIMG("ID_425A90966AC64FF39D5C136A88D8C7E7",1)</f>
        <v>=DISPIMG("ID_425A90966AC64FF39D5C136A88D8C7E7",1)</v>
      </c>
      <c r="G370" s="4" t="s">
        <v>864</v>
      </c>
      <c r="H370" s="4" t="s">
        <v>865</v>
      </c>
      <c r="I370" s="4" t="s">
        <v>482</v>
      </c>
    </row>
    <row r="371" ht="117" customHeight="1" spans="1:9">
      <c r="A371" s="3">
        <v>369</v>
      </c>
      <c r="B371" s="4" t="s">
        <v>890</v>
      </c>
      <c r="C371" s="4" t="s">
        <v>116</v>
      </c>
      <c r="D371" s="4">
        <v>1</v>
      </c>
      <c r="E371" s="4" t="s">
        <v>863</v>
      </c>
      <c r="F371" s="4" t="str">
        <f>_xlfn.DISPIMG("ID_EBA3DD9325E94D9E9146DC8FA93E6A77",1)</f>
        <v>=DISPIMG("ID_EBA3DD9325E94D9E9146DC8FA93E6A77",1)</v>
      </c>
      <c r="G371" s="4" t="s">
        <v>864</v>
      </c>
      <c r="H371" s="4" t="s">
        <v>891</v>
      </c>
      <c r="I371" s="4" t="s">
        <v>482</v>
      </c>
    </row>
    <row r="372" ht="117" customHeight="1" spans="1:9">
      <c r="A372" s="3">
        <v>370</v>
      </c>
      <c r="B372" s="4" t="s">
        <v>892</v>
      </c>
      <c r="C372" s="4" t="s">
        <v>116</v>
      </c>
      <c r="D372" s="4">
        <v>1</v>
      </c>
      <c r="E372" s="4" t="s">
        <v>863</v>
      </c>
      <c r="F372" s="4" t="str">
        <f>_xlfn.DISPIMG("ID_80BD987F5978476DBC1AFC2DC565473D",1)</f>
        <v>=DISPIMG("ID_80BD987F5978476DBC1AFC2DC565473D",1)</v>
      </c>
      <c r="G372" s="4" t="s">
        <v>864</v>
      </c>
      <c r="H372" s="4" t="s">
        <v>867</v>
      </c>
      <c r="I372" s="4" t="s">
        <v>482</v>
      </c>
    </row>
    <row r="373" ht="117" customHeight="1" spans="1:9">
      <c r="A373" s="3">
        <v>371</v>
      </c>
      <c r="B373" s="4" t="s">
        <v>893</v>
      </c>
      <c r="C373" s="4" t="s">
        <v>116</v>
      </c>
      <c r="D373" s="4">
        <v>5</v>
      </c>
      <c r="E373" s="4" t="s">
        <v>863</v>
      </c>
      <c r="F373" s="4" t="str">
        <f>_xlfn.DISPIMG("ID_451FB8A010194A74AE5D9E8FF0605CE8",1)</f>
        <v>=DISPIMG("ID_451FB8A010194A74AE5D9E8FF0605CE8",1)</v>
      </c>
      <c r="G373" s="4" t="s">
        <v>864</v>
      </c>
      <c r="H373" s="4" t="s">
        <v>878</v>
      </c>
      <c r="I373" s="4" t="s">
        <v>482</v>
      </c>
    </row>
    <row r="374" ht="117" customHeight="1" spans="1:9">
      <c r="A374" s="3">
        <v>372</v>
      </c>
      <c r="B374" s="4" t="s">
        <v>894</v>
      </c>
      <c r="C374" s="4" t="s">
        <v>116</v>
      </c>
      <c r="D374" s="4">
        <v>21</v>
      </c>
      <c r="E374" s="4" t="s">
        <v>863</v>
      </c>
      <c r="F374" s="4" t="str">
        <f>_xlfn.DISPIMG("ID_610AB46293A745CBA6FA6F4ED5532885",1)</f>
        <v>=DISPIMG("ID_610AB46293A745CBA6FA6F4ED5532885",1)</v>
      </c>
      <c r="G374" s="4" t="s">
        <v>864</v>
      </c>
      <c r="H374" s="4" t="s">
        <v>895</v>
      </c>
      <c r="I374" s="4" t="s">
        <v>482</v>
      </c>
    </row>
    <row r="375" ht="117" customHeight="1" spans="1:9">
      <c r="A375" s="3">
        <v>373</v>
      </c>
      <c r="B375" s="4" t="s">
        <v>896</v>
      </c>
      <c r="C375" s="4" t="s">
        <v>897</v>
      </c>
      <c r="D375" s="4">
        <v>316</v>
      </c>
      <c r="E375" s="4" t="s">
        <v>863</v>
      </c>
      <c r="F375" s="4" t="str">
        <f>_xlfn.DISPIMG("ID_AC05DC45B36F410686FED583175ED902",1)</f>
        <v>=DISPIMG("ID_AC05DC45B36F410686FED583175ED902",1)</v>
      </c>
      <c r="G375" s="4" t="s">
        <v>864</v>
      </c>
      <c r="H375" s="4" t="s">
        <v>898</v>
      </c>
      <c r="I375" s="4" t="s">
        <v>482</v>
      </c>
    </row>
    <row r="376" ht="117" customHeight="1" spans="1:9">
      <c r="A376" s="3">
        <v>374</v>
      </c>
      <c r="B376" s="4" t="s">
        <v>899</v>
      </c>
      <c r="C376" s="4" t="s">
        <v>116</v>
      </c>
      <c r="D376" s="4">
        <v>1026</v>
      </c>
      <c r="E376" s="4" t="s">
        <v>863</v>
      </c>
      <c r="F376" s="4" t="str">
        <f>_xlfn.DISPIMG("ID_45DEE26E3B584F918CDC71C39200F5D9",1)</f>
        <v>=DISPIMG("ID_45DEE26E3B584F918CDC71C39200F5D9",1)</v>
      </c>
      <c r="G376" s="4" t="s">
        <v>864</v>
      </c>
      <c r="H376" s="4" t="s">
        <v>867</v>
      </c>
      <c r="I376" s="4" t="s">
        <v>482</v>
      </c>
    </row>
    <row r="377" ht="117" customHeight="1" spans="1:9">
      <c r="A377" s="3">
        <v>375</v>
      </c>
      <c r="B377" s="4" t="s">
        <v>900</v>
      </c>
      <c r="C377" s="4" t="s">
        <v>116</v>
      </c>
      <c r="D377" s="4">
        <v>41</v>
      </c>
      <c r="E377" s="4" t="s">
        <v>863</v>
      </c>
      <c r="F377" s="4" t="str">
        <f>_xlfn.DISPIMG("ID_DA07423D5E12494F85A54B5554AE63C3",1)</f>
        <v>=DISPIMG("ID_DA07423D5E12494F85A54B5554AE63C3",1)</v>
      </c>
      <c r="G377" s="4" t="s">
        <v>864</v>
      </c>
      <c r="H377" s="4" t="s">
        <v>871</v>
      </c>
      <c r="I377" s="4" t="s">
        <v>482</v>
      </c>
    </row>
    <row r="378" ht="117" customHeight="1" spans="1:9">
      <c r="A378" s="3">
        <v>376</v>
      </c>
      <c r="B378" s="4" t="s">
        <v>901</v>
      </c>
      <c r="C378" s="4" t="s">
        <v>116</v>
      </c>
      <c r="D378" s="4">
        <v>420</v>
      </c>
      <c r="E378" s="4" t="s">
        <v>863</v>
      </c>
      <c r="F378" s="4" t="str">
        <f>_xlfn.DISPIMG("ID_A75AE202596B4265B8B0B0DBC3CEB25A",1)</f>
        <v>=DISPIMG("ID_A75AE202596B4265B8B0B0DBC3CEB25A",1)</v>
      </c>
      <c r="G378" s="4" t="s">
        <v>864</v>
      </c>
      <c r="H378" s="4" t="s">
        <v>865</v>
      </c>
      <c r="I378" s="4" t="s">
        <v>482</v>
      </c>
    </row>
    <row r="379" ht="117" customHeight="1" spans="1:9">
      <c r="A379" s="3">
        <v>377</v>
      </c>
      <c r="B379" s="4" t="s">
        <v>902</v>
      </c>
      <c r="C379" s="4" t="s">
        <v>116</v>
      </c>
      <c r="D379" s="4">
        <v>1</v>
      </c>
      <c r="E379" s="4" t="s">
        <v>863</v>
      </c>
      <c r="F379" s="4" t="str">
        <f>_xlfn.DISPIMG("ID_7A51B4AB19F347F9852C6FFFF5304349",1)</f>
        <v>=DISPIMG("ID_7A51B4AB19F347F9852C6FFFF5304349",1)</v>
      </c>
      <c r="G379" s="4" t="s">
        <v>864</v>
      </c>
      <c r="H379" s="4" t="s">
        <v>865</v>
      </c>
      <c r="I379" s="4" t="s">
        <v>482</v>
      </c>
    </row>
    <row r="380" ht="117" customHeight="1" spans="1:9">
      <c r="A380" s="3">
        <v>378</v>
      </c>
      <c r="B380" s="4" t="s">
        <v>903</v>
      </c>
      <c r="C380" s="4" t="s">
        <v>904</v>
      </c>
      <c r="D380" s="4">
        <v>1350</v>
      </c>
      <c r="E380" s="4" t="s">
        <v>863</v>
      </c>
      <c r="F380" s="4" t="str">
        <f>_xlfn.DISPIMG("ID_8AA7BEC48FF9400DAAF8D22AC22010AF",1)</f>
        <v>=DISPIMG("ID_8AA7BEC48FF9400DAAF8D22AC22010AF",1)</v>
      </c>
      <c r="G380" s="4" t="s">
        <v>864</v>
      </c>
      <c r="H380" s="4" t="s">
        <v>895</v>
      </c>
      <c r="I380" s="4" t="s">
        <v>482</v>
      </c>
    </row>
    <row r="381" ht="117" customHeight="1" spans="1:9">
      <c r="A381" s="3">
        <v>379</v>
      </c>
      <c r="B381" s="4" t="s">
        <v>905</v>
      </c>
      <c r="C381" s="4" t="s">
        <v>116</v>
      </c>
      <c r="D381" s="4">
        <v>988</v>
      </c>
      <c r="E381" s="4" t="s">
        <v>863</v>
      </c>
      <c r="F381" s="4" t="str">
        <f>_xlfn.DISPIMG("ID_50120A5AC4E04323B39BCF7CE51C1211",1)</f>
        <v>=DISPIMG("ID_50120A5AC4E04323B39BCF7CE51C1211",1)</v>
      </c>
      <c r="G381" s="4" t="s">
        <v>864</v>
      </c>
      <c r="H381" s="4" t="s">
        <v>865</v>
      </c>
      <c r="I381" s="4" t="s">
        <v>482</v>
      </c>
    </row>
  </sheetData>
  <autoFilter xmlns:etc="http://www.wps.cn/officeDocument/2017/etCustomData" ref="A1:I381" etc:filterBottomFollowUsedRange="0">
    <sortState ref="A1:I381">
      <sortCondition ref="A1"/>
    </sortState>
    <extLst/>
  </autoFilter>
  <conditionalFormatting sqref="B1:B353 B355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生鲜蔬菜、水产、杂项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沈奇</dc:creator>
  <cp:lastModifiedBy>沈奇</cp:lastModifiedBy>
  <dcterms:created xsi:type="dcterms:W3CDTF">2026-04-28T06:30:00Z</dcterms:created>
  <dcterms:modified xsi:type="dcterms:W3CDTF">2026-05-07T05:50:20Z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7583DEDC2BA04432B5E26A0DC66EC5A7_13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